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715" windowHeight="5910" activeTab="0"/>
  </bookViews>
  <sheets>
    <sheet name="สอน p1-3" sheetId="1" r:id="rId1"/>
    <sheet name=" Thesis p 4" sheetId="2" r:id="rId2"/>
    <sheet name="วิจัย 2.1-1.4 p 5-6" sheetId="3" r:id="rId3"/>
    <sheet name="อื่น ๆ P7-9 สรุป" sheetId="4" r:id="rId4"/>
    <sheet name="ผลสัมฤทธ์" sheetId="5" r:id="rId5"/>
    <sheet name="Sheet1" sheetId="6" r:id="rId6"/>
  </sheets>
  <definedNames>
    <definedName name="_xlnm.Print_Area" localSheetId="1">' Thesis p 4'!$A$1:$F$36</definedName>
    <definedName name="_xlnm.Print_Area" localSheetId="4">'ผลสัมฤทธ์'!$A$1:$O$25</definedName>
    <definedName name="_xlnm.Print_Area" localSheetId="2">'วิจัย 2.1-1.4 p 5-6'!$A$1:$L$54</definedName>
    <definedName name="_xlnm.Print_Area" localSheetId="0">'สอน p1-3'!$A$1:$J$137</definedName>
    <definedName name="_xlnm.Print_Area" localSheetId="3">'อื่น ๆ P7-9 สรุป'!$A$1:$G$126</definedName>
  </definedNames>
  <calcPr fullCalcOnLoad="1"/>
</workbook>
</file>

<file path=xl/comments1.xml><?xml version="1.0" encoding="utf-8"?>
<comments xmlns="http://schemas.openxmlformats.org/spreadsheetml/2006/main">
  <authors>
    <author>iLLuSioN</author>
    <author>Surasak</author>
    <author>Admin</author>
  </authors>
  <commentList>
    <comment ref="D103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28" authorId="0">
      <text>
        <r>
          <rPr>
            <b/>
            <sz val="8"/>
            <rFont val="Tahoma"/>
            <family val="2"/>
          </rPr>
          <t xml:space="preserve">
</t>
        </r>
        <r>
          <rPr>
            <sz val="6"/>
            <rFont val="Tahoma"/>
            <family val="2"/>
          </rPr>
          <t xml:space="preserve"> จำนวนนิสิต</t>
        </r>
      </text>
    </comment>
    <comment ref="D28" authorId="0">
      <text>
        <r>
          <rPr>
            <sz val="8"/>
            <rFont val="Tahoma"/>
            <family val="2"/>
          </rPr>
          <t xml:space="preserve">
 จำนวนชั่วโมง
</t>
        </r>
      </text>
    </comment>
    <comment ref="C55" authorId="0">
      <text>
        <r>
          <rPr>
            <sz val="8"/>
            <rFont val="Tahoma"/>
            <family val="2"/>
          </rPr>
          <t xml:space="preserve"> จำนวนนิสิต
</t>
        </r>
      </text>
    </comment>
    <comment ref="D55" authorId="0">
      <text>
        <r>
          <rPr>
            <sz val="8"/>
            <rFont val="Tahoma"/>
            <family val="2"/>
          </rPr>
          <t xml:space="preserve">
 ชั่วโมง
 </t>
        </r>
      </text>
    </comment>
    <comment ref="I132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29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29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45" authorId="2">
      <text>
        <r>
          <rPr>
            <sz val="8"/>
            <rFont val="Tahoma"/>
            <family val="2"/>
          </rPr>
          <t xml:space="preserve">จำนวนนิสิต </t>
        </r>
      </text>
    </comment>
    <comment ref="D45" authorId="2">
      <text>
        <r>
          <rPr>
            <b/>
            <sz val="8"/>
            <rFont val="Tahoma"/>
            <family val="2"/>
          </rPr>
          <t>ชั่วโมงสัมมนา</t>
        </r>
        <r>
          <rPr>
            <sz val="8"/>
            <rFont val="Tahoma"/>
            <family val="2"/>
          </rPr>
          <t xml:space="preserve">
</t>
        </r>
      </text>
    </comment>
    <comment ref="C86" authorId="2">
      <text>
        <r>
          <rPr>
            <sz val="8"/>
            <rFont val="Tahoma"/>
            <family val="2"/>
          </rPr>
          <t>จำนวนนิสิต</t>
        </r>
      </text>
    </comment>
    <comment ref="D86" authorId="2">
      <text>
        <r>
          <rPr>
            <sz val="8"/>
            <rFont val="Tahoma"/>
            <family val="2"/>
          </rPr>
          <t>ชั่วโมง lab</t>
        </r>
      </text>
    </comment>
    <comment ref="C90" authorId="2">
      <text>
        <r>
          <rPr>
            <b/>
            <sz val="10"/>
            <rFont val="Tahoma"/>
            <family val="2"/>
          </rPr>
          <t>จำนวนนิสิต</t>
        </r>
        <r>
          <rPr>
            <sz val="10"/>
            <rFont val="Tahoma"/>
            <family val="2"/>
          </rPr>
          <t xml:space="preserve">
</t>
        </r>
      </text>
    </comment>
    <comment ref="D90" authorId="2">
      <text>
        <r>
          <rPr>
            <sz val="8"/>
            <rFont val="Tahoma"/>
            <family val="2"/>
          </rPr>
          <t>ชั่วโมงสัมมนา</t>
        </r>
      </text>
    </comment>
    <comment ref="C3" authorId="2">
      <text>
        <r>
          <rPr>
            <b/>
            <sz val="10"/>
            <rFont val="Tahoma"/>
            <family val="2"/>
          </rPr>
          <t xml:space="preserve">คำชี้แจง : 
         </t>
        </r>
        <r>
          <rPr>
            <b/>
            <sz val="12"/>
            <rFont val="TH SarabunPSK"/>
            <family val="2"/>
          </rPr>
          <t xml:space="preserve">แบบกรอกข้อมูลนี้พัฒนาขึ้นโดย </t>
        </r>
        <r>
          <rPr>
            <b/>
            <sz val="12"/>
            <color indexed="57"/>
            <rFont val="TH SarabunPSK"/>
            <family val="2"/>
          </rPr>
          <t xml:space="preserve">รศ. สุวรรณา จันทร์ประเสริฐ </t>
        </r>
        <r>
          <rPr>
            <b/>
            <sz val="12"/>
            <rFont val="TH SarabunPSK"/>
            <family val="2"/>
          </rPr>
          <t xml:space="preserve">เพื่อความสะดวกในการประเมินปริมาณงานของอาจารย์ ตามคู่มือการประเมิน ฯ ของคณะพยาบาลศาสตร์ มหาวิทยาลัยบูรพา  การใช้งาน : 
   1. ควร save file ขึ้นมาด้วยการเปลี่ยนชื่อเป็นของตนเองก่อน 
   2. แบบฟอร์มนี้ได้ล็อก (lock) cell ซึ่งไม่มีความจำเป็นต้องแก้ไข  
  3. กรอกข้อมูล ในcell ที่เติมข้อมูล </t>
        </r>
        <r>
          <rPr>
            <b/>
            <sz val="12"/>
            <color indexed="10"/>
            <rFont val="TH SarabunPSK"/>
            <family val="2"/>
          </rPr>
          <t>(ช่องเส้นสีแสด)</t>
        </r>
        <r>
          <rPr>
            <b/>
            <sz val="12"/>
            <rFont val="TH SarabunPSK"/>
            <family val="2"/>
          </rPr>
          <t xml:space="preserve"> เท่านั้น โปรแกรมจะคำนวณภาระงานและรวมคะแนนให้เสร็จ
  4.  cell ใดที่มีมุมบนขวาเป็นสีแดง  แสดงว่ามีข้อแนะนำอยู่เมื่อเลื่อน cursor ไปที่ cell นั้นจะปรากฎข้อความ
  5. เมื่อ Print ควรกำหนดพื้นที่การพิมพ์ทีละหน้าตามขอบเส้นสีฟ้า
 </t>
        </r>
        <r>
          <rPr>
            <b/>
            <sz val="12"/>
            <color indexed="10"/>
            <rFont val="TH SarabunPSK"/>
            <family val="2"/>
          </rPr>
          <t xml:space="preserve"> 6. ผลการคำนวณอาจมีความผิดพลาดได้จากปัจจัยหลายประการ  ผู้พัฒนาโปรแกรมนี้  ไม่สามารถยืนยันความถูกต้องได้ทั้งหมด  ท่านจะต้องรับผิดชอบผลการคำนวณด้วยตนเอง</t>
        </r>
        <r>
          <rPr>
            <b/>
            <sz val="12"/>
            <rFont val="TH SarabunPSK"/>
            <family val="2"/>
          </rPr>
          <t xml:space="preserve">
  7. หากมีข้อเสนอแนะ หรือข้อคิดเห็นในการปรับปรุงประการใดกรุณาให้ข้อแนะนำด้วย จะขอบคุณยิ่งค่ะ
                                                รองศาสตราจารย์ ดร. สุวรรณา จันทร์ประเสริฐ (โทร 2840)
                                                         15 กุมภาพันธ์ 2561
</t>
        </r>
      </text>
    </comment>
    <comment ref="I129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5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20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86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I103" authorId="1">
      <text>
        <r>
          <rPr>
            <sz val="8"/>
            <color indexed="10"/>
            <rFont val="MS Sans Serif"/>
            <family val="2"/>
          </rPr>
          <t>แนบแผนการสอนภาคปฏิบัติ</t>
        </r>
        <r>
          <rPr>
            <sz val="8"/>
            <rFont val="MS Sans Serif"/>
            <family val="2"/>
          </rPr>
          <t xml:space="preserve">
</t>
        </r>
      </text>
    </comment>
    <comment ref="C11" authorId="2">
      <text>
        <r>
          <rPr>
            <sz val="9"/>
            <rFont val="Tahoma"/>
            <family val="2"/>
          </rPr>
          <t>นิสิต</t>
        </r>
      </text>
    </comment>
    <comment ref="D11" authorId="2">
      <text>
        <r>
          <rPr>
            <sz val="9"/>
            <rFont val="Tahoma"/>
            <family val="2"/>
          </rPr>
          <t xml:space="preserve">ชั่วโมง
</t>
        </r>
      </text>
    </comment>
    <comment ref="C36" authorId="2">
      <text>
        <r>
          <rPr>
            <sz val="9"/>
            <rFont val="Tahoma"/>
            <family val="2"/>
          </rPr>
          <t xml:space="preserve">นิสิต
</t>
        </r>
      </text>
    </comment>
    <comment ref="D36" authorId="2">
      <text>
        <r>
          <rPr>
            <b/>
            <sz val="9"/>
            <rFont val="Tahoma"/>
            <family val="2"/>
          </rPr>
          <t xml:space="preserve">ชั่วโมง
</t>
        </r>
        <r>
          <rPr>
            <sz val="9"/>
            <rFont val="Tahoma"/>
            <family val="2"/>
          </rPr>
          <t xml:space="preserve">
</t>
        </r>
      </text>
    </comment>
    <comment ref="C132" authorId="2">
      <text>
        <r>
          <rPr>
            <sz val="8"/>
            <rFont val="Tahoma"/>
            <family val="2"/>
          </rPr>
          <t xml:space="preserve">จำนวนนิสิต
</t>
        </r>
      </text>
    </comment>
    <comment ref="D132" authorId="2">
      <text>
        <r>
          <rPr>
            <b/>
            <sz val="8"/>
            <rFont val="Tahoma"/>
            <family val="2"/>
          </rPr>
          <t>จำนวนชั่วโมงสอน</t>
        </r>
        <r>
          <rPr>
            <sz val="8"/>
            <rFont val="Tahoma"/>
            <family val="2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2"/>
          </rPr>
          <t>ระบุจำนวนชั่วโมง</t>
        </r>
      </text>
    </comment>
    <comment ref="D111" authorId="0">
      <text>
        <r>
          <rPr>
            <b/>
            <sz val="8"/>
            <rFont val="Tahoma"/>
            <family val="2"/>
          </rPr>
          <t xml:space="preserve"> ระบุจำนวนชั่วโมง</t>
        </r>
      </text>
    </comment>
    <comment ref="C112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2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2"/>
          </rPr>
          <t xml:space="preserve">
 ระบุจำนวนชั่วโมง</t>
        </r>
        <r>
          <rPr>
            <sz val="8"/>
            <rFont val="Tahoma"/>
            <family val="2"/>
          </rPr>
          <t xml:space="preserve">
</t>
        </r>
      </text>
    </comment>
    <comment ref="C69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2"/>
          </rPr>
          <t xml:space="preserve">
 ระบุจำนวนนิสิต</t>
        </r>
        <r>
          <rPr>
            <sz val="8"/>
            <rFont val="Tahoma"/>
            <family val="2"/>
          </rPr>
          <t xml:space="preserve">
</t>
        </r>
      </text>
    </comment>
    <comment ref="F47" authorId="2">
      <text>
        <r>
          <rPr>
            <sz val="9"/>
            <rFont val="Tahoma"/>
            <family val="2"/>
          </rPr>
          <t xml:space="preserve">จำนวนอาจารย์ร่วมสัมมนา.ในวิชารายการที่ 1)
</t>
        </r>
      </text>
    </comment>
    <comment ref="G47" authorId="2">
      <text>
        <r>
          <rPr>
            <b/>
            <sz val="9"/>
            <rFont val="Tahoma"/>
            <family val="2"/>
          </rPr>
          <t>จำนวนอาจารย์ร่วมสัมมนา.ในวิชารายการที่ 2)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Surasak</author>
    <author>Admin</author>
  </authors>
  <commentList>
    <comment ref="F4" authorId="0">
      <text>
        <r>
          <rPr>
            <sz val="8"/>
            <color indexed="12"/>
            <rFont val="MS Sans Serif"/>
            <family val="2"/>
          </rPr>
          <t xml:space="preserve"> </t>
        </r>
        <r>
          <rPr>
            <b/>
            <sz val="8"/>
            <color indexed="12"/>
            <rFont val="MS Sans Serif"/>
            <family val="2"/>
          </rPr>
          <t>* ใส่ข้อมูลได้ช่องเดียว</t>
        </r>
        <r>
          <rPr>
            <sz val="8"/>
            <rFont val="MS Sans Serif"/>
            <family val="2"/>
          </rPr>
          <t xml:space="preserve">
</t>
        </r>
      </text>
    </comment>
    <comment ref="F5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F23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7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MS Sans Serif"/>
            <family val="2"/>
          </rPr>
          <t xml:space="preserve"> * ถ้านิสิตมากกว่า 5 คนต้องมีบันทึกเวลาปรึกษางานวิทยานิพนธ์
</t>
        </r>
        <r>
          <rPr>
            <sz val="8"/>
            <rFont val="MS Sans Serif"/>
            <family val="2"/>
          </rPr>
          <t xml:space="preserve">
</t>
        </r>
      </text>
    </comment>
    <comment ref="C12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b/>
            <sz val="10"/>
            <rFont val="Tahoma"/>
            <family val="2"/>
          </rPr>
          <t xml:space="preserve">ใส่จำนวนนิสิตกี่คน
</t>
        </r>
        <r>
          <rPr>
            <sz val="10"/>
            <rFont val="Tahoma"/>
            <family val="2"/>
          </rPr>
          <t xml:space="preserve">
</t>
        </r>
      </text>
    </comment>
    <comment ref="C28" authorId="1">
      <text>
        <r>
          <rPr>
            <b/>
            <sz val="10"/>
            <rFont val="Tahoma"/>
            <family val="2"/>
          </rPr>
          <t>จำนวนนิสิต</t>
        </r>
      </text>
    </comment>
    <comment ref="F17" authorId="1">
      <text>
        <r>
          <rPr>
            <b/>
            <sz val="8"/>
            <rFont val="Corbel"/>
            <family val="2"/>
          </rPr>
          <t>* ถ้านิสิตมากกว่า 5 คนต้องมีบันทึกเวลาปรึกษางานวิทยานิพนธ์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5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8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1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K14" authorId="0">
      <text>
        <r>
          <rPr>
            <b/>
            <sz val="10"/>
            <rFont val="Tahoma"/>
            <family val="2"/>
          </rPr>
          <t>หากใส่เลข 1 มากกว่า 1 ช่อง ผิด ค่ะ</t>
        </r>
      </text>
    </comment>
    <comment ref="L5" authorId="0">
      <text>
        <r>
          <rPr>
            <b/>
            <sz val="10"/>
            <rFont val="Tahoma"/>
            <family val="2"/>
          </rPr>
          <t>หากพ้นระยะเวลาการทำวิจัยมาแล้วให้ระบุส่วนนี้เป็น 0</t>
        </r>
        <r>
          <rPr>
            <sz val="10"/>
            <rFont val="Tahoma"/>
            <family val="2"/>
          </rPr>
          <t xml:space="preserve">
 แล้วใส่สัดส่วนในการเผยแพร่ใหม่
</t>
        </r>
      </text>
    </comment>
    <comment ref="G41" authorId="0">
      <text>
        <r>
          <rPr>
            <b/>
            <sz val="9"/>
            <rFont val="Tahoma"/>
            <family val="2"/>
          </rPr>
          <t>% ภาระ</t>
        </r>
      </text>
    </comment>
    <comment ref="G34" authorId="0">
      <text>
        <r>
          <rPr>
            <b/>
            <sz val="9"/>
            <rFont val="Tahoma"/>
            <family val="2"/>
          </rPr>
          <t>%  ภาระ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 xml:space="preserve">% ภาระ
</t>
        </r>
      </text>
    </comment>
    <comment ref="B4" authorId="0">
      <text>
        <r>
          <rPr>
            <b/>
            <sz val="12"/>
            <rFont val="Angsana New"/>
            <family val="1"/>
          </rPr>
          <t>หัวหน้างานวิจัย/ ผู้รับผิดชอบหลัก/ Coresponding author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iLLuSioN</author>
    <author>Admin</author>
  </authors>
  <commentList>
    <comment ref="D37" authorId="0">
      <text>
        <r>
          <rPr>
            <b/>
            <sz val="8"/>
            <rFont val="Tahoma"/>
            <family val="2"/>
          </rPr>
          <t xml:space="preserve"> 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2"/>
          </rPr>
          <t xml:space="preserve"> ระบุภาระงาน
</t>
        </r>
        <r>
          <rPr>
            <sz val="8"/>
            <rFont val="Tahoma"/>
            <family val="2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2"/>
          </rPr>
          <t xml:space="preserve"> ระบุภาระงาน</t>
        </r>
        <r>
          <rPr>
            <sz val="8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8"/>
            <rFont val="Tahoma"/>
            <family val="2"/>
          </rPr>
          <t xml:space="preserve"> ระบุภาระงาน:</t>
        </r>
        <r>
          <rPr>
            <sz val="8"/>
            <rFont val="Tahoma"/>
            <family val="2"/>
          </rPr>
          <t xml:space="preserve">
</t>
        </r>
      </text>
    </comment>
    <comment ref="D16" authorId="1">
      <text>
        <r>
          <rPr>
            <sz val="10"/>
            <rFont val="Calibri"/>
            <family val="2"/>
          </rPr>
          <t xml:space="preserve">ถ้าเป็น
งานประดืษฐ์ ลง 8
สิทธิบัตรลง  24
อนุสิทธิ์/ลิขสิทธ์ ลง 8
</t>
        </r>
        <r>
          <rPr>
            <b/>
            <sz val="10"/>
            <rFont val="Tahoma"/>
            <family val="2"/>
          </rPr>
          <t xml:space="preserve">
 </t>
        </r>
        <r>
          <rPr>
            <sz val="10"/>
            <rFont val="Tahoma"/>
            <family val="2"/>
          </rPr>
          <t xml:space="preserve">
</t>
        </r>
      </text>
    </comment>
    <comment ref="D20" authorId="1">
      <text>
        <r>
          <rPr>
            <sz val="10"/>
            <rFont val="Tahoma"/>
            <family val="2"/>
          </rPr>
          <t xml:space="preserve">ลง ชั่วโมง
</t>
        </r>
      </text>
    </comment>
    <comment ref="D22" authorId="1">
      <text>
        <r>
          <rPr>
            <sz val="10"/>
            <rFont val="Tahoma"/>
            <family val="2"/>
          </rPr>
          <t>ลง จำนวนเรื่อง</t>
        </r>
      </text>
    </comment>
    <comment ref="G49" authorId="1">
      <text>
        <r>
          <rPr>
            <b/>
            <sz val="9"/>
            <rFont val="Tahoma"/>
            <family val="2"/>
          </rPr>
          <t>แนบตารางเวลา</t>
        </r>
      </text>
    </comment>
    <comment ref="D25" authorId="1">
      <text>
        <r>
          <rPr>
            <sz val="9"/>
            <rFont val="Tahoma"/>
            <family val="2"/>
          </rPr>
          <t xml:space="preserve">จำนวนชุด
</t>
        </r>
      </text>
    </comment>
    <comment ref="D27" authorId="1">
      <text>
        <r>
          <rPr>
            <sz val="8"/>
            <rFont val="Tahoma"/>
            <family val="2"/>
          </rPr>
          <t xml:space="preserve">จำนวนเรื่อง
</t>
        </r>
      </text>
    </comment>
    <comment ref="D24" authorId="1">
      <text>
        <r>
          <rPr>
            <sz val="10"/>
            <rFont val="Tahoma"/>
            <family val="2"/>
          </rPr>
          <t xml:space="preserve">ลง จำนวนเรื่อง
</t>
        </r>
      </text>
    </comment>
    <comment ref="D60" authorId="1">
      <text>
        <r>
          <rPr>
            <sz val="8"/>
            <rFont val="Tahoma"/>
            <family val="2"/>
          </rPr>
          <t>ระบจำนวนชุด</t>
        </r>
      </text>
    </comment>
    <comment ref="D51" authorId="1">
      <text>
        <r>
          <rPr>
            <sz val="9"/>
            <rFont val="Tahoma"/>
            <family val="2"/>
          </rPr>
          <t xml:space="preserve">ระบุจำนวนโครงการ
</t>
        </r>
      </text>
    </comment>
    <comment ref="E18" authorId="1">
      <text>
        <r>
          <rPr>
            <b/>
            <sz val="8"/>
            <rFont val="Tahoma"/>
            <family val="2"/>
          </rPr>
          <t xml:space="preserve">
นำค่าเฉลี่ยจากรอบที่ 1 มาใส่</t>
        </r>
        <r>
          <rPr>
            <sz val="9"/>
            <rFont val="Tahoma"/>
            <family val="2"/>
          </rPr>
          <t xml:space="preserve">
</t>
        </r>
      </text>
    </comment>
    <comment ref="E53" authorId="1">
      <text>
        <r>
          <rPr>
            <b/>
            <sz val="8"/>
            <rFont val="Tahoma"/>
            <family val="2"/>
          </rPr>
          <t xml:space="preserve">
นำค่าเฉลี่ยจากรอบที่ 1 มาใส่</t>
        </r>
        <r>
          <rPr>
            <sz val="9"/>
            <rFont val="Tahoma"/>
            <family val="2"/>
          </rPr>
          <t xml:space="preserve">
</t>
        </r>
      </text>
    </comment>
    <comment ref="E79" authorId="1">
      <text>
        <r>
          <rPr>
            <b/>
            <sz val="8"/>
            <rFont val="Tahoma"/>
            <family val="2"/>
          </rPr>
          <t xml:space="preserve">
นำค่าเฉลี่ยจากรอบที่ 1 มาใส่</t>
        </r>
        <r>
          <rPr>
            <sz val="9"/>
            <rFont val="Tahoma"/>
            <family val="2"/>
          </rPr>
          <t xml:space="preserve">
</t>
        </r>
      </text>
    </comment>
    <comment ref="E83" authorId="1">
      <text>
        <r>
          <rPr>
            <b/>
            <sz val="8"/>
            <rFont val="Tahoma"/>
            <family val="2"/>
          </rPr>
          <t xml:space="preserve">
นำค่าเฉลี่ยจากรอบที่ 1 มาใส่</t>
        </r>
        <r>
          <rPr>
            <sz val="9"/>
            <rFont val="Tahoma"/>
            <family val="2"/>
          </rPr>
          <t xml:space="preserve">
</t>
        </r>
      </text>
    </comment>
    <comment ref="E89" authorId="1">
      <text>
        <r>
          <rPr>
            <b/>
            <sz val="8"/>
            <rFont val="Tahoma"/>
            <family val="2"/>
          </rPr>
          <t xml:space="preserve">
นำค่าเฉลี่ยจากรอบที่ 1 มาใส่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2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3" authorId="0">
      <text>
        <r>
          <rPr>
            <b/>
            <sz val="10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<sst xmlns="http://schemas.openxmlformats.org/spreadsheetml/2006/main" count="603" uniqueCount="420">
  <si>
    <t>กิจกรรม</t>
  </si>
  <si>
    <t>ภาระงานด้านการสอน</t>
  </si>
  <si>
    <t>-</t>
  </si>
  <si>
    <t>รวม</t>
  </si>
  <si>
    <t>หมายเหตุ</t>
  </si>
  <si>
    <t>ภาระงาน</t>
  </si>
  <si>
    <t>เตรียม</t>
  </si>
  <si>
    <t>สอน</t>
  </si>
  <si>
    <t>ตรวจงาน</t>
  </si>
  <si>
    <t>จำนวนนิสิต</t>
  </si>
  <si>
    <t>หน่วยภาระงาน</t>
  </si>
  <si>
    <t>จำนวน</t>
  </si>
  <si>
    <t>งานทำนุบำรุงศิลปฯ (รวมไม่เกิน 6 หน่วย)</t>
  </si>
  <si>
    <t>นิสิต</t>
  </si>
  <si>
    <t>แนบคำสั่ง</t>
  </si>
  <si>
    <t>จะถูกย้ายๆไปรวมหน้าสุดท้าย</t>
  </si>
  <si>
    <r>
      <t>3)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</si>
  <si>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</si>
  <si>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(25 คน)</t>
    </r>
  </si>
  <si>
    <r>
      <t>2) 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(25 คน)</t>
    </r>
  </si>
  <si>
    <r>
      <t>3) Lab วิชา</t>
    </r>
    <r>
      <rPr>
        <sz val="12"/>
        <color indexed="53"/>
        <rFont val="Cordia New"/>
        <family val="2"/>
      </rPr>
      <t xml:space="preserve">…………………………. </t>
    </r>
    <r>
      <rPr>
        <sz val="12"/>
        <rFont val="Cordia New"/>
        <family val="2"/>
      </rPr>
      <t xml:space="preserve">    (25 คน)</t>
    </r>
  </si>
  <si>
    <r>
      <t>4)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</si>
  <si>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งานวิชาการ (ถ้าทำร่วมกับผู้อื่นคิดสัดส่วน รวมภาระงานทุกคนไม่เกินหน่วยภาระเต็ม)</t>
  </si>
  <si>
    <t>ส่งเอกสารหรือสิ่งประดิษฐ์</t>
  </si>
  <si>
    <t>3. วิชาการ</t>
  </si>
  <si>
    <t xml:space="preserve">2. งานวิจัย  </t>
  </si>
  <si>
    <t>แนบเอกสารเชิญหรือคำสั่ง</t>
  </si>
  <si>
    <r>
      <t>7.1 หัวหน้างานกิจการนิสิตมหาวิทยาลัย (ไ</t>
    </r>
    <r>
      <rPr>
        <sz val="10"/>
        <rFont val="Cordia New"/>
        <family val="2"/>
      </rPr>
      <t>ม่เกิน  8 หน่วย</t>
    </r>
    <r>
      <rPr>
        <sz val="12"/>
        <rFont val="Cordia New"/>
        <family val="2"/>
      </rPr>
      <t>)</t>
    </r>
  </si>
  <si>
    <t>ลงจำนวนครั้ง</t>
  </si>
  <si>
    <t>ลงจำนวนชุด</t>
  </si>
  <si>
    <t xml:space="preserve">4. งานบริการวิชาการ  </t>
  </si>
  <si>
    <t>1. การสอน</t>
  </si>
  <si>
    <t>***</t>
  </si>
  <si>
    <t>ชั่วโมง</t>
  </si>
  <si>
    <t xml:space="preserve">              1.5 การควบคุมวิทยานิพนธ์ และ 1.6 ภาคนิพนธ์</t>
  </si>
  <si>
    <t>รวม 1.5  และ 1.6</t>
  </si>
  <si>
    <t>ลงหน่วยภาระงาน</t>
  </si>
  <si>
    <t>( ขนาดกลุ่ม : กรณีไม่มีการสาธิตย้อนกลับคิดนิสิต 25 คนต่อกลุ่ม  กรณีสาธิตนิสิต 12 คนต่อกลุ่ม)</t>
  </si>
  <si>
    <r>
      <t>4) ปฏิบัติ วิชา</t>
    </r>
    <r>
      <rPr>
        <sz val="12"/>
        <color indexed="16"/>
        <rFont val="Cordia New"/>
        <family val="2"/>
      </rPr>
      <t>…………</t>
    </r>
  </si>
  <si>
    <r>
      <t xml:space="preserve">3) ปฏิบัติ </t>
    </r>
    <r>
      <rPr>
        <sz val="12"/>
        <color indexed="10"/>
        <rFont val="Cordia New"/>
        <family val="2"/>
      </rPr>
      <t>วิชา.........</t>
    </r>
  </si>
  <si>
    <r>
      <t xml:space="preserve">2) ปฏิบัติ </t>
    </r>
    <r>
      <rPr>
        <sz val="12"/>
        <color indexed="10"/>
        <rFont val="Cordia New"/>
        <family val="2"/>
      </rPr>
      <t>วิชา............</t>
    </r>
  </si>
  <si>
    <t>ระบุชือ สาขา วันที่สอบโครงร่าง</t>
  </si>
  <si>
    <t>ระบุชื่ออาจารย์ร่วมเป็นกรรมการ</t>
  </si>
  <si>
    <r>
      <t>7.2 อาจารย์ที่ปรึกษากิจการนิสิต (</t>
    </r>
    <r>
      <rPr>
        <sz val="10"/>
        <rFont val="Cordia New"/>
        <family val="2"/>
      </rPr>
      <t>2 ชม ต่อ สัปดาห์ไม่เกิน 6 หน่วย</t>
    </r>
    <r>
      <rPr>
        <sz val="12"/>
        <rFont val="Cordia New"/>
        <family val="2"/>
      </rPr>
      <t xml:space="preserve">) </t>
    </r>
    <r>
      <rPr>
        <sz val="12"/>
        <color indexed="10"/>
        <rFont val="Cordia New"/>
        <family val="2"/>
      </rPr>
      <t>ระบุจำนวนชั่วโมงทั้งหมด</t>
    </r>
  </si>
  <si>
    <t xml:space="preserve">ลงภาระงานรวม </t>
  </si>
  <si>
    <t>ป.ตรี</t>
  </si>
  <si>
    <t>บัณฑิตศึกษา (หน่วย=ชม.สอน)</t>
  </si>
  <si>
    <t>บัณฑิต</t>
  </si>
  <si>
    <t>คน</t>
  </si>
  <si>
    <t>หน่วยกิต</t>
  </si>
  <si>
    <r>
      <t>2) บรรยาย วิชา</t>
    </r>
    <r>
      <rPr>
        <sz val="12"/>
        <color indexed="53"/>
        <rFont val="Cordia New"/>
        <family val="2"/>
      </rPr>
      <t>……………………..……….</t>
    </r>
  </si>
  <si>
    <r>
      <t>ระบุ</t>
    </r>
    <r>
      <rPr>
        <sz val="12"/>
        <color indexed="53"/>
        <rFont val="Cordia New"/>
        <family val="2"/>
      </rPr>
      <t>..คำสั่ง .......</t>
    </r>
  </si>
  <si>
    <r>
      <t xml:space="preserve">1) ปฏิบัติ </t>
    </r>
    <r>
      <rPr>
        <sz val="12"/>
        <color indexed="10"/>
        <rFont val="Cordia New"/>
        <family val="2"/>
      </rPr>
      <t xml:space="preserve">วิชา. </t>
    </r>
  </si>
  <si>
    <r>
      <t>1) บรรยาย วิชา</t>
    </r>
    <r>
      <rPr>
        <sz val="12"/>
        <color indexed="53"/>
        <rFont val="Cordia New"/>
        <family val="2"/>
      </rPr>
      <t>…….………....…………….</t>
    </r>
  </si>
  <si>
    <r>
      <t>5)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</si>
  <si>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</si>
  <si>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5) ปฏิบัติ วิชา</t>
    </r>
    <r>
      <rPr>
        <sz val="12"/>
        <color indexed="16"/>
        <rFont val="Cordia New"/>
        <family val="2"/>
      </rPr>
      <t>…………</t>
    </r>
  </si>
  <si>
    <t xml:space="preserve">        ข้อมูลดังกล่าวข้างต้นได้ผ่านการรับรองของคณาจารย์ในกลุ่มวิชา ฯ ด้วยวิธีการที่กลุ่มวิชา ฯ กำหนดแล้ว</t>
  </si>
  <si>
    <t>หากไม่มีภาระงานนี้ช่อง อจ ใส่ 1 เสมอ</t>
  </si>
  <si>
    <t>ใส่จำนวนนิสิต</t>
  </si>
  <si>
    <t>ระบุ</t>
  </si>
  <si>
    <t>วิชาศึกษาค้นคว้าด้วยตนเองระดับปริญญาตรี วิชา 1 หน่วยกิต 0.25 หน่วยต่อนิสิต 1 คน</t>
  </si>
  <si>
    <t>การคุมสอบ (1 ชม = 0.07 หน่วย)    ระดับ</t>
  </si>
  <si>
    <t>%</t>
  </si>
  <si>
    <t>คิดเฉพาะนิสิตในคณะฯเท่านั้น</t>
  </si>
  <si>
    <t xml:space="preserve">งานสอนระดับปริญญาตรี </t>
  </si>
  <si>
    <t>ดิดเฉพาะภาระตรวจงาน</t>
  </si>
  <si>
    <r>
      <t xml:space="preserve">(3) สัมมนา </t>
    </r>
    <r>
      <rPr>
        <sz val="12"/>
        <rFont val="Cordia New"/>
        <family val="2"/>
      </rPr>
      <t>1 หน่วยกิต = 6 หน่วยชั่วโมง [ตรียมสอน (4), สอน (1) และ ตรวจ (1)] ต่อนิสิต  5 คน อาจารย์คิดได้ 1 คน, &gt;5 คิดได้ 2 คน</t>
    </r>
  </si>
  <si>
    <t>ระบุจำนวนชั่วโมงบรรทัดละวิชา</t>
  </si>
  <si>
    <t>ก</t>
  </si>
  <si>
    <t>ข</t>
  </si>
  <si>
    <t>4) บรรยาย วิชา.</t>
  </si>
  <si>
    <t>รวม ชม</t>
  </si>
  <si>
    <t>1) สัมมนา วิชา………………………….</t>
  </si>
  <si>
    <t>2) สัมมนา วิชา………………………….</t>
  </si>
  <si>
    <t>3) สัมมนา วิชา………………………….</t>
  </si>
  <si>
    <t xml:space="preserve">1) Lab วิชา </t>
  </si>
  <si>
    <t xml:space="preserve">2)  Lab วิชา </t>
  </si>
  <si>
    <t>ใส่จำนวนนิสิตในแต่ละครั้ง</t>
  </si>
  <si>
    <t>ภาระ</t>
  </si>
  <si>
    <t>วิทยานิพนธ์ (หลักสูตรปกติ พิเศษและนานาชาติ)</t>
  </si>
  <si>
    <t xml:space="preserve">1.5.1 ปโท </t>
  </si>
  <si>
    <r>
      <t xml:space="preserve">1.5.2  </t>
    </r>
    <r>
      <rPr>
        <b/>
        <sz val="12"/>
        <color indexed="10"/>
        <rFont val="Cordia New"/>
        <family val="2"/>
      </rPr>
      <t>ป. เอก</t>
    </r>
    <r>
      <rPr>
        <b/>
        <sz val="12"/>
        <rFont val="Cordia New"/>
        <family val="2"/>
      </rPr>
      <t xml:space="preserve"> </t>
    </r>
  </si>
  <si>
    <t xml:space="preserve">ระบุชือ สาขา วันที่สอบโครงร่าง </t>
  </si>
  <si>
    <t>กรอกจำนวนคน</t>
  </si>
  <si>
    <t>หน่วยชั่วโมง</t>
  </si>
  <si>
    <t>จำนวน อจ</t>
  </si>
  <si>
    <t>ค. กรรมการสอบประมวลความรู้</t>
  </si>
  <si>
    <t>เอกชน</t>
  </si>
  <si>
    <t>ระยะเวลาทุน</t>
  </si>
  <si>
    <t>เริ่ม วดป.</t>
  </si>
  <si>
    <t>ถืง วดป.</t>
  </si>
  <si>
    <t>ทุนวิจัย</t>
  </si>
  <si>
    <t>(บาท)</t>
  </si>
  <si>
    <r>
      <t xml:space="preserve">ชนิดของแหล่งทุน </t>
    </r>
    <r>
      <rPr>
        <sz val="11"/>
        <color indexed="10"/>
        <rFont val="Cordia New"/>
        <family val="2"/>
      </rPr>
      <t>(ใส่เลข 1 ในช่อง)</t>
    </r>
  </si>
  <si>
    <t>ม.บูรพา</t>
  </si>
  <si>
    <t>% ผลงาน</t>
  </si>
  <si>
    <t>inter</t>
  </si>
  <si>
    <t>ชาติ</t>
  </si>
  <si>
    <t>คณะ</t>
  </si>
  <si>
    <t>ภาระงานวิจัย</t>
  </si>
  <si>
    <t>เงินทุน</t>
  </si>
  <si>
    <t>แหล่งทุน</t>
  </si>
  <si>
    <t>ภาระงานคิดจาก</t>
  </si>
  <si>
    <t>ภาระงานที่ได้</t>
  </si>
  <si>
    <t>การ</t>
  </si>
  <si>
    <t>บันทึก</t>
  </si>
  <si>
    <t>สัดส่วน</t>
  </si>
  <si>
    <r>
      <rPr>
        <b/>
        <sz val="12"/>
        <color indexed="53"/>
        <rFont val="Cordia New"/>
        <family val="2"/>
      </rPr>
      <t xml:space="preserve">หมายเหตุ: </t>
    </r>
    <r>
      <rPr>
        <sz val="12"/>
        <color indexed="53"/>
        <rFont val="Cordia New"/>
        <family val="2"/>
      </rPr>
      <t>กรุณาสำเนาหน้านี้ให้ฝ่ายวิจัยเพื่อเป็นข้อมูลการประกันคุณภาพ ฯ ด้วย</t>
    </r>
  </si>
  <si>
    <t>2.1 -2.4 การดำเนินการวิจัยและแหล่งทุน</t>
  </si>
  <si>
    <t>2.5.1 เผยแพร่ระดับประเทศ : ระบุชื่อ ตามแบบอ้างอิง</t>
  </si>
  <si>
    <t>(1)……………………………………………………………………………………………………………………………….</t>
  </si>
  <si>
    <t>แนบสำเนาบทความที่เผยแพร่</t>
  </si>
  <si>
    <t>(2)……………………………………………………………………………………………………………………………….</t>
  </si>
  <si>
    <t>2.5.2 เผยแพร่ระดับนานาชาติ : ระบุชื่อ ตามแบบอ้างอิง</t>
  </si>
  <si>
    <t>กลุ่ม</t>
  </si>
  <si>
    <t>งบฯ</t>
  </si>
  <si>
    <t>Major</t>
  </si>
  <si>
    <t>การเผยแพร่วิทยานิพนธ์</t>
  </si>
  <si>
    <t>/ Co-</t>
  </si>
  <si>
    <t xml:space="preserve">   หมายเหตุ</t>
  </si>
  <si>
    <t xml:space="preserve">    หมายเหตุ</t>
  </si>
  <si>
    <t>สัดส่วน %</t>
  </si>
  <si>
    <t>ผู้เขียนหลายคนคิด%</t>
  </si>
  <si>
    <t>หน่วย</t>
  </si>
  <si>
    <r>
      <t>ระบุ</t>
    </r>
    <r>
      <rPr>
        <sz val="11"/>
        <color indexed="53"/>
        <rFont val="Cordia New"/>
        <family val="2"/>
      </rPr>
      <t>................................................................................................................</t>
    </r>
  </si>
  <si>
    <t xml:space="preserve">บริการวิชาการแก่สังคม (ทุกรายการรวมไม่เกิน 6 หน่วยฯ) 4.1 งานทดสอบ 4.2 งานออกแบบ </t>
  </si>
  <si>
    <t>ระบุโครงการ</t>
  </si>
  <si>
    <t xml:space="preserve">ภาระงานด้านอื่น </t>
  </si>
  <si>
    <t>6.1 คณบดี รองอธิการ ผู้อำนวยการวิทยาลัย สถาบันหรือสำนัก (24 หน่วยฯ)</t>
  </si>
  <si>
    <t xml:space="preserve">6.5 กรรมการเฉพาะกิจที่ไม่มีในข้อบังคับ ชุดละ 0.5 หน่วยฯ รวมไม่เกิน 4 หน่วยฯ </t>
  </si>
  <si>
    <r>
      <t xml:space="preserve">6.4 สภาพนักงาน กกคณะฯ เลขานุการคณะ กกประจำคณะ  5 หน่วยฯ  </t>
    </r>
    <r>
      <rPr>
        <sz val="12"/>
        <color indexed="10"/>
        <rFont val="Cordia New"/>
        <family val="2"/>
      </rPr>
      <t>ระบุ...</t>
    </r>
  </si>
  <si>
    <t>8.2 ร่วมงานกิจกรรมของคณะ ฯ…มหาวิทยาลัย… (ครั้งละ 1 หน่วยฯ)</t>
  </si>
  <si>
    <t>ผู้รับการประเมิน</t>
  </si>
  <si>
    <r>
      <rPr>
        <b/>
        <sz val="12"/>
        <rFont val="Cordia New"/>
        <family val="2"/>
      </rPr>
      <t>ระบุ :</t>
    </r>
    <r>
      <rPr>
        <sz val="12"/>
        <rFont val="Cordia New"/>
        <family val="2"/>
      </rPr>
      <t xml:space="preserve"> ชื่อผู้วิจัยทุกคน. (ปีที่พิมพ์). </t>
    </r>
    <r>
      <rPr>
        <i/>
        <sz val="12"/>
        <rFont val="Cordia New"/>
        <family val="2"/>
      </rPr>
      <t xml:space="preserve"> ชื่อเรื่อง. </t>
    </r>
    <r>
      <rPr>
        <sz val="12"/>
        <rFont val="Cordia New"/>
        <family val="2"/>
      </rPr>
      <t xml:space="preserve"> และแหล่งเผยแพร่. ปีที่ (ฉบับที่). เลขหน้า </t>
    </r>
  </si>
  <si>
    <t>ภาระจริง</t>
  </si>
  <si>
    <t>1 u ท.บ.จัดสอบได้ 1 ชั่วโมง</t>
  </si>
  <si>
    <t>1 u lab จัดสอบได้ 2 ชั่วโมง</t>
  </si>
  <si>
    <r>
      <t>(1) ระบุ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</si>
  <si>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r>
      <t xml:space="preserve">(1) </t>
    </r>
    <r>
      <rPr>
        <sz val="12"/>
        <rFont val="Cordia New"/>
        <family val="2"/>
      </rPr>
      <t xml:space="preserve"> ประธานวิชา </t>
    </r>
    <r>
      <rPr>
        <sz val="12"/>
        <color indexed="53"/>
        <rFont val="Cordia New"/>
        <family val="2"/>
      </rPr>
      <t>...............… เลขานุการวิชา..........................…กรรมการวิชา…….....……</t>
    </r>
  </si>
  <si>
    <t>บริหาร ( 6.1- 6.4  คิดได้เพียงข้อเดียว)</t>
  </si>
  <si>
    <t>5คน หากเกินให้กก แบ่ง</t>
  </si>
  <si>
    <t>บัณฑิตศึกษา ปโท และ ปเอก นานาชาติ สอนเป็นภาษาอังกฤษทั้งหมด</t>
  </si>
  <si>
    <t>สัดส่วนของงานต่องานทั้งหมด (10 ส่วน)(เฉพาะครั้งนี้)</t>
  </si>
  <si>
    <t xml:space="preserve">                                ลงนาม...................................................................................</t>
  </si>
  <si>
    <t>5.1  อาจารย์ที่ปรึกษาวิชาการ โดยจัดตารางเวลาให้ 3 ชม.ต่อสัปดาห์ ( 3 หน่วยภาระงาน)</t>
  </si>
  <si>
    <t>กิจการนิสิตระดับมหาวิทยาลัย</t>
  </si>
  <si>
    <t>ชิ่อกิจกรรม</t>
  </si>
  <si>
    <t>8.1 กรรมการกิจกรรม (ครั้งละ 2 หน่วยฯ)ระบุ...</t>
  </si>
  <si>
    <t>5.2 อาจารย์ที่ปรึกษากิจกรรม/โครงการนิสิตเฉพาะกิจ (1 หน่วยภาระงาน) คิดได้ไม่เกิน 3 หน่วยชั่วโมง</t>
  </si>
  <si>
    <t xml:space="preserve">ชื่อ </t>
  </si>
  <si>
    <t xml:space="preserve">  1) ประธานวิชา                                  2) เลขา หรือกรรมการวิชา</t>
  </si>
  <si>
    <t>1) ปฏิบัติ วิชา</t>
  </si>
  <si>
    <r>
      <t>2) ปฏิบัติ วิชา</t>
    </r>
    <r>
      <rPr>
        <sz val="12"/>
        <color indexed="53"/>
        <rFont val="Cordia New"/>
        <family val="2"/>
      </rPr>
      <t xml:space="preserve">  </t>
    </r>
    <r>
      <rPr>
        <sz val="12"/>
        <rFont val="Cordia New"/>
        <family val="2"/>
      </rPr>
      <t xml:space="preserve">      </t>
    </r>
  </si>
  <si>
    <r>
      <t>3) ปฏิบัติ วิชา</t>
    </r>
    <r>
      <rPr>
        <sz val="12"/>
        <rFont val="Cordia New"/>
        <family val="2"/>
      </rPr>
      <t xml:space="preserve">  </t>
    </r>
  </si>
  <si>
    <t>2) บรรยาย วิชา</t>
  </si>
  <si>
    <t>3) บรรยาย วิชา</t>
  </si>
  <si>
    <t>ภาคพิเศษ จุดคุ้มทุน 15 คน ตามมหาวิทยาลัยคำนวณ</t>
  </si>
  <si>
    <t>ภาคปกติ จุดคุ้มทุน 20 คน ตามมหาวิทยาลัยคำนวณ</t>
  </si>
  <si>
    <t>2) ภาคปกติ วิชา</t>
  </si>
  <si>
    <t>3) ภาคปกติ วิชา</t>
  </si>
  <si>
    <t>1) ภาคพิเศษ วิชา</t>
  </si>
  <si>
    <t>2) ภาคพิเศษ วิชา</t>
  </si>
  <si>
    <t>3) ภาคพิเศษ วิชา</t>
  </si>
  <si>
    <t>4) ภาคพิเศษ วิชา</t>
  </si>
  <si>
    <r>
      <t xml:space="preserve">1)  </t>
    </r>
    <r>
      <rPr>
        <sz val="12"/>
        <color indexed="10"/>
        <rFont val="Cordia New"/>
        <family val="2"/>
      </rPr>
      <t xml:space="preserve">วิชา. </t>
    </r>
  </si>
  <si>
    <t>ระบุชือ สาขา วันที่สอบ</t>
  </si>
  <si>
    <t>(2)</t>
  </si>
  <si>
    <t xml:space="preserve">(3) </t>
  </si>
  <si>
    <t xml:space="preserve">ระบุ </t>
  </si>
  <si>
    <t>ระบุโครงการ.</t>
  </si>
  <si>
    <t xml:space="preserve"> ระบุ </t>
  </si>
  <si>
    <t>(หากมีข้อมูลวิจัยส่วนบนครบ ส่วนนี้จะมีผลอัตโนมัติ เฉพาะโครงการที่อยู่ในแผนเท่านั้น เกินเวลาไม่คิด)</t>
  </si>
  <si>
    <t>สาขาวิชา</t>
  </si>
  <si>
    <r>
      <t>(2) ปฏิบัติในห้อง lab</t>
    </r>
    <r>
      <rPr>
        <sz val="12"/>
        <rFont val="Cordia New"/>
        <family val="2"/>
      </rPr>
      <t xml:space="preserve"> 1 หน่วยกิต.= 4 ชั่วโมงต่อสัปดาห์ [ตรียมสอน (1), สอน (2) และ ตรวจ (1)] ต่อนิสิต 1 กลุ่ม (25 หรือ 12 คน)</t>
    </r>
  </si>
  <si>
    <r>
      <t>1) สัมมนาวิชา</t>
    </r>
    <r>
      <rPr>
        <sz val="12"/>
        <color indexed="53"/>
        <rFont val="Cordia New"/>
        <family val="2"/>
      </rPr>
      <t>……….……</t>
    </r>
  </si>
  <si>
    <r>
      <t xml:space="preserve">(4) ปฏิบัติ:  1 หน่วยกิต </t>
    </r>
    <r>
      <rPr>
        <b/>
        <sz val="11"/>
        <rFont val="Cordia New"/>
        <family val="2"/>
      </rPr>
      <t>=9 ชั่วโมงต่อสัปดาห์ [ตรียมสอน(2), สอน(4) และ ตรวจ(3)] ต่อนิสิต 8 คน</t>
    </r>
  </si>
  <si>
    <r>
      <t>(1) ภาคทฤษฎี: 1 หน่วยกิต =4 Hr/wk [เตรียมสอน(2), สอน(1) และตรวจงาน(1)] ต่อนิสิต20คนภาคปกติและ</t>
    </r>
    <r>
      <rPr>
        <b/>
        <sz val="12"/>
        <color indexed="10"/>
        <rFont val="Cordia New"/>
        <family val="2"/>
      </rPr>
      <t>15 คนภาคพิเศษ</t>
    </r>
    <r>
      <rPr>
        <b/>
        <sz val="12"/>
        <rFont val="Cordia New"/>
        <family val="2"/>
      </rPr>
      <t xml:space="preserve"> คิดจุดคุ้มทุน</t>
    </r>
  </si>
  <si>
    <t xml:space="preserve">ภาคปกติ จุดคุ้มทุนpath wayละ 2 คน </t>
  </si>
  <si>
    <t>(3) ปฏิบัติในห้อง lab 1 หน่วยกิต = 7.5hr/wk [ตรียมสอน (2.5), สอน(3) และ ตรวจ(2)] ต่อนิสิต 1 กลุ่ม ( 10 คน)</t>
  </si>
  <si>
    <t>(4) ปฏิบัติ 1 หน่วยกิต =11 hr/wk [ตรียมสอน (3), สอน (4) และ ตรวจ (4)] ต่อนิสิต 2 คน</t>
  </si>
  <si>
    <t xml:space="preserve"> สอน</t>
  </si>
  <si>
    <t>วิทยานิพนธ์  และภาคนิพนธ์ ประธานและกรรมการ คิดรวมไม่เกิน 30 หน่วยชั่วโมง</t>
  </si>
  <si>
    <t xml:space="preserve">ก. ประธานกรรมการ (คิดได้ 2 ครั้งๆละ 3 หน่วยฯต่อนิสิต 1 คน)  </t>
  </si>
  <si>
    <r>
      <t>ครั้งที่1 lสอบเค้าโครง(</t>
    </r>
    <r>
      <rPr>
        <sz val="12"/>
        <color indexed="10"/>
        <rFont val="Cordia New"/>
        <family val="2"/>
      </rPr>
      <t xml:space="preserve"> ชื่อ+วันสอบ)</t>
    </r>
  </si>
  <si>
    <r>
      <t>ครั้งที่2 สอบจบ</t>
    </r>
    <r>
      <rPr>
        <sz val="12"/>
        <color indexed="60"/>
        <rFont val="Cordia New"/>
        <family val="2"/>
      </rPr>
      <t>(ชื่อ+วันสอบ)</t>
    </r>
  </si>
  <si>
    <r>
      <t>ข. กรรมการ</t>
    </r>
    <r>
      <rPr>
        <sz val="12"/>
        <rFont val="Cordia New"/>
        <family val="2"/>
      </rPr>
      <t xml:space="preserve"> (คิดได้ 2 ครั้งๆละ 1 หน่วยฯต่อนิสิต 1 คน)  </t>
    </r>
  </si>
  <si>
    <r>
      <t>ครั้งที่ 2 สอบเค้าโครง</t>
    </r>
    <r>
      <rPr>
        <sz val="12"/>
        <color indexed="60"/>
        <rFont val="Cordia New"/>
        <family val="2"/>
      </rPr>
      <t xml:space="preserve"> ( ชื่อ+วันสอบ)</t>
    </r>
  </si>
  <si>
    <r>
      <t>ครั้งที่ 3</t>
    </r>
    <r>
      <rPr>
        <sz val="12"/>
        <color indexed="60"/>
        <rFont val="Cordia New"/>
        <family val="2"/>
      </rPr>
      <t xml:space="preserve"> สอบจบ( ชื่อ+วันสอบ)</t>
    </r>
  </si>
  <si>
    <t xml:space="preserve">ก. ประธานกรรมการ (คิดได้ 4 ครั้งๆละ 3 หน่วยฯต่อนิสิต 1 คน)  </t>
  </si>
  <si>
    <t xml:space="preserve">ก. กรรมการสอบเค้าโครง (นิสิต 1 คนคิด 0.5 hr/wk ประธานและกรรมการควบคุมวิทยานิพนธ์ คิดข้อนี้ไม่ได้) </t>
  </si>
  <si>
    <t xml:space="preserve">ข. กรรมการสอบปากเปล่า (นิสิต 1 คนคิด 1 hr/wk ประธานและกรรมการควบคุมวิทยานิพนธ์ คิดข้อนี้ไม่ได้)  </t>
  </si>
  <si>
    <t>- ป.เอก  1 ต่อนิสิต 1 คน ระบุจำนวน นิสิต &amp; อจ.ทั้งหมด</t>
  </si>
  <si>
    <t xml:space="preserve">              1.2 ข บัณฑิตศึกษานานาชาติ</t>
  </si>
  <si>
    <t xml:space="preserve">              1.2 ก บัณฑิตศึกษา  </t>
  </si>
  <si>
    <t>1. งานสอน 1.1  ปริญญาตรี ทบ lab prac + งานค้นคว้า ป ตรี</t>
  </si>
  <si>
    <t xml:space="preserve">              1.3 การคุมสอบ </t>
  </si>
  <si>
    <t>ทบ</t>
  </si>
  <si>
    <t>lab</t>
  </si>
  <si>
    <t>prac</t>
  </si>
  <si>
    <t>1) วิชา                          วันที่</t>
  </si>
  <si>
    <t>2) วิชา                          วันที่</t>
  </si>
  <si>
    <r>
      <t xml:space="preserve">1) Lab </t>
    </r>
    <r>
      <rPr>
        <sz val="12"/>
        <color indexed="10"/>
        <rFont val="Cordia New"/>
        <family val="2"/>
      </rPr>
      <t>วิชา</t>
    </r>
    <r>
      <rPr>
        <sz val="12"/>
        <rFont val="Cordia New"/>
        <family val="2"/>
      </rPr>
      <t xml:space="preserve"> </t>
    </r>
  </si>
  <si>
    <r>
      <t>2)  Lab</t>
    </r>
    <r>
      <rPr>
        <sz val="12"/>
        <color indexed="10"/>
        <rFont val="Cordia New"/>
        <family val="2"/>
      </rPr>
      <t xml:space="preserve"> วิชา</t>
    </r>
    <r>
      <rPr>
        <sz val="12"/>
        <rFont val="Cordia New"/>
        <family val="2"/>
      </rPr>
      <t xml:space="preserve"> </t>
    </r>
  </si>
  <si>
    <r>
      <t xml:space="preserve">3)  Lab </t>
    </r>
    <r>
      <rPr>
        <sz val="12"/>
        <color indexed="10"/>
        <rFont val="Cordia New"/>
        <family val="2"/>
      </rPr>
      <t>วิชา...............</t>
    </r>
    <r>
      <rPr>
        <sz val="12"/>
        <rFont val="Cordia New"/>
        <family val="2"/>
      </rPr>
      <t>..</t>
    </r>
  </si>
  <si>
    <r>
      <t xml:space="preserve">2)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</si>
  <si>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1)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 </t>
    </r>
  </si>
  <si>
    <r>
      <t xml:space="preserve">3) สัมมนา </t>
    </r>
    <r>
      <rPr>
        <sz val="12"/>
        <color indexed="50"/>
        <rFont val="Cordia New"/>
        <family val="2"/>
      </rPr>
      <t>(ภาคปกติ)</t>
    </r>
    <r>
      <rPr>
        <sz val="12"/>
        <rFont val="Cordia New"/>
        <family val="2"/>
      </rPr>
      <t xml:space="preserve"> วิชา………………………….</t>
    </r>
  </si>
  <si>
    <r>
      <t xml:space="preserve">4)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</si>
  <si>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5)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</si>
  <si>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>6) สัมมนา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</si>
  <si>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7) สัมมนา </t>
    </r>
    <r>
      <rPr>
        <sz val="12"/>
        <color indexed="10"/>
        <rFont val="Cordia New"/>
        <family val="2"/>
      </rPr>
      <t>(ภาคพิเศษ)</t>
    </r>
    <r>
      <rPr>
        <sz val="12"/>
        <rFont val="Cordia New"/>
        <family val="2"/>
      </rPr>
      <t xml:space="preserve"> วิชา………………………….</t>
    </r>
  </si>
  <si>
    <r>
      <t xml:space="preserve">ข. กรรมการร่วม </t>
    </r>
    <r>
      <rPr>
        <sz val="12"/>
        <rFont val="Cordia New"/>
        <family val="2"/>
      </rPr>
      <t xml:space="preserve"> (คิดได้ 4 ครั้งๆละ 1 หน่วยฯ) </t>
    </r>
  </si>
  <si>
    <r>
      <t xml:space="preserve">2.5.1.1 Proceedings มี Peer review คิดได้ </t>
    </r>
    <r>
      <rPr>
        <sz val="12"/>
        <color indexed="10"/>
        <rFont val="Cordia New"/>
        <family val="2"/>
      </rPr>
      <t xml:space="preserve"> 4 </t>
    </r>
    <r>
      <rPr>
        <sz val="12"/>
        <rFont val="Cordia New"/>
        <family val="2"/>
      </rPr>
      <t xml:space="preserve"> หน่วยชั่วโมงต่อสัปดาห์ต่อภาคเรียน </t>
    </r>
  </si>
  <si>
    <r>
      <t xml:space="preserve">2.5.2.1 Proceedings มี Peer review คิดได้ </t>
    </r>
    <r>
      <rPr>
        <sz val="12"/>
        <color indexed="10"/>
        <rFont val="Cordia New"/>
        <family val="2"/>
      </rPr>
      <t xml:space="preserve"> 8 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</si>
  <si>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r>
      <t xml:space="preserve">2.5.2.2  บทความวิจัย (Research article) วารสารในฐานข้อมูลนานาชาติ คิดได้ </t>
    </r>
    <r>
      <rPr>
        <sz val="12"/>
        <color indexed="10"/>
        <rFont val="Cordia New"/>
        <family val="2"/>
      </rPr>
      <t>12</t>
    </r>
    <r>
      <rPr>
        <sz val="12"/>
        <rFont val="Cordia New"/>
        <family val="2"/>
      </rPr>
      <t xml:space="preserve"> หน่วยชั่วโมงต่อสัปดาห์ต่อภาคเรียน</t>
    </r>
  </si>
  <si>
    <t xml:space="preserve">งานโครงการบริการวิชาการต่อเนื่องของคณะ ฯ </t>
  </si>
  <si>
    <t>3.4 ผลิต สื่อการสอน เรื่องใหม่ (คิดได้ 6  หน่วยฯ )</t>
  </si>
  <si>
    <t>3.5 งานสิ่งประดิษฐ์: สิ่งประดิษฐ์ การออกแบบ (8 หน่วยฯ) สิทธิบัตร (24 หน่วยฯ) อนุสิทธิบัตร ลิขสิทธิ์ (8 หน่วยฯ)</t>
  </si>
  <si>
    <t>3.1 ตำราหรือหนังสือ คิดได้ 16 หน่วยฯ (ลงสัดส่วน%)</t>
  </si>
  <si>
    <t xml:space="preserve"> ลงนาม...................................................................................ประธานสาขาวิชา</t>
  </si>
  <si>
    <t>รวม U</t>
  </si>
  <si>
    <t>..</t>
  </si>
  <si>
    <t>ระบุชื่อนิสิตและสาขา..</t>
  </si>
  <si>
    <t>ระบุ................................................................................................................</t>
  </si>
  <si>
    <r>
      <t>5)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</si>
  <si>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1)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</si>
  <si>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r>
      <t>2) วิชา</t>
    </r>
    <r>
      <rPr>
        <b/>
        <sz val="10"/>
        <color indexed="53"/>
        <rFont val="Cordia New"/>
        <family val="2"/>
      </rPr>
      <t>..................................................</t>
    </r>
  </si>
  <si>
    <t xml:space="preserve">5. ด้านอื่น ๆ </t>
  </si>
  <si>
    <t xml:space="preserve">6. บริหาร </t>
  </si>
  <si>
    <t xml:space="preserve">7. กิจการนิสิต  </t>
  </si>
  <si>
    <t>8. ทำนุบำรุง ฯ</t>
  </si>
  <si>
    <t>แนบหลักฐาน</t>
  </si>
  <si>
    <r>
      <t xml:space="preserve">2.5.1.2  บทความวิจัย (Research article)เผยแพร่ใน TCI กลุ่ม 1 คิดได้ </t>
    </r>
    <r>
      <rPr>
        <sz val="12"/>
        <color indexed="10"/>
        <rFont val="Cordia New"/>
        <family val="2"/>
      </rPr>
      <t>8</t>
    </r>
    <r>
      <rPr>
        <sz val="12"/>
        <rFont val="Cordia New"/>
        <family val="2"/>
      </rPr>
      <t xml:space="preserve">  , กลุ่ม 2 คิดได้ 6 หน่วยชั่วโมงต่อสัปดาห์ต่อภาคเรียน</t>
    </r>
  </si>
  <si>
    <t>ระบุกลุ่ม &gt;&gt;</t>
  </si>
  <si>
    <r>
      <t xml:space="preserve">ก. ระดับชาติ :  ประธานคิด </t>
    </r>
    <r>
      <rPr>
        <b/>
        <sz val="12"/>
        <color indexed="30"/>
        <rFont val="Cordia New"/>
        <family val="2"/>
      </rPr>
      <t>6</t>
    </r>
    <r>
      <rPr>
        <b/>
        <sz val="12"/>
        <rFont val="Cordia New"/>
        <family val="2"/>
      </rPr>
      <t xml:space="preserve"> หน่วยฯ  กรรมการที่ปรึกษาร่วมคิดได้ 2 หน่วยฯ </t>
    </r>
  </si>
  <si>
    <r>
      <t xml:space="preserve">ก.  นานาชาติ :  ประธานคิด </t>
    </r>
    <r>
      <rPr>
        <b/>
        <sz val="12"/>
        <color indexed="30"/>
        <rFont val="Cordia New"/>
        <family val="2"/>
      </rPr>
      <t>10</t>
    </r>
    <r>
      <rPr>
        <b/>
        <sz val="12"/>
        <rFont val="Cordia New"/>
        <family val="2"/>
      </rPr>
      <t xml:space="preserve"> หน่วยฯ  กรรมการที่ปรึกษาร่วมคิดได้ 3 หน่วยฯ </t>
    </r>
  </si>
  <si>
    <t>ใส่จำนวนภาระงานในช่อง Major/Co</t>
  </si>
  <si>
    <t>(1)</t>
  </si>
  <si>
    <r>
      <t xml:space="preserve">2.6 วิทยานิพนธ์นิสิตที่ได้รับการเผยแพร่ในวารสาร </t>
    </r>
    <r>
      <rPr>
        <sz val="12"/>
        <color indexed="10"/>
        <rFont val="Cordia New"/>
        <family val="2"/>
      </rPr>
      <t xml:space="preserve"> (ระบุชื่อนิสิต และเรื่อง หากพื้นที่ไม่พอให้ระบุชื่อโดยย่อ และบันทึกภาระรวมของ Major หรือของ Co )</t>
    </r>
  </si>
  <si>
    <t>กลุ่ม 1</t>
  </si>
  <si>
    <t>กลุ่ม 2</t>
  </si>
  <si>
    <t>3.2.1 บทความวิชาการลงพิมพ์วารสารระดับชาติ (ระบุสัดส่วน% รวม ในแต่ละกลุ่ม)</t>
  </si>
  <si>
    <t>งานโครงการบริการวิชาการของคณะ ฯ แยกตามตำแหน่ง</t>
  </si>
  <si>
    <r>
      <t xml:space="preserve">         ประธาน </t>
    </r>
    <r>
      <rPr>
        <sz val="12"/>
        <color indexed="62"/>
        <rFont val="Cordia New"/>
        <family val="2"/>
      </rPr>
      <t>(6 หน่วย)</t>
    </r>
    <r>
      <rPr>
        <sz val="12"/>
        <rFont val="Cordia New"/>
        <family val="2"/>
      </rPr>
      <t xml:space="preserve"> เลขานุการ </t>
    </r>
    <r>
      <rPr>
        <sz val="12"/>
        <color indexed="62"/>
        <rFont val="Cordia New"/>
        <family val="2"/>
      </rPr>
      <t>(4 หน่วย)</t>
    </r>
    <r>
      <rPr>
        <sz val="12"/>
        <rFont val="Cordia New"/>
        <family val="2"/>
      </rPr>
      <t xml:space="preserve">  กรรมการ </t>
    </r>
    <r>
      <rPr>
        <sz val="12"/>
        <color indexed="62"/>
        <rFont val="Cordia New"/>
        <family val="2"/>
      </rPr>
      <t>(2 หน่วย)</t>
    </r>
  </si>
  <si>
    <t xml:space="preserve">     กรณีนอกเหนือจากนี้ให้อยู่ในดุลยพินิจของคณะกรรมการประจำคณะพยาบาลศาสตร์</t>
  </si>
  <si>
    <t>5. ด้านอื่น ๆ</t>
  </si>
  <si>
    <t>8. ทำนุบำรง ฯ</t>
  </si>
  <si>
    <t xml:space="preserve">1) ภาคปกติ วิชา </t>
  </si>
  <si>
    <t>(2)…</t>
  </si>
  <si>
    <t xml:space="preserve">(1) </t>
  </si>
  <si>
    <r>
      <t>7)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</si>
  <si>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8)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</si>
  <si>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9)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</si>
  <si>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10)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</si>
  <si>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12)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</si>
  <si>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13)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</si>
  <si>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6)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</si>
  <si>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r>
      <t>7) Lab วิชา</t>
    </r>
    <r>
      <rPr>
        <sz val="12"/>
        <color indexed="53"/>
        <rFont val="Cordia New"/>
        <family val="2"/>
      </rPr>
      <t xml:space="preserve">………………………….  </t>
    </r>
    <r>
      <rPr>
        <sz val="12"/>
        <rFont val="Cordia New"/>
        <family val="2"/>
      </rPr>
      <t xml:space="preserve">   (25 คน)</t>
    </r>
  </si>
  <si>
    <t>8) Lab วิชา………………………….     (12 คน)</t>
  </si>
  <si>
    <t>9) Lab วิชา………………………….     (12 คน)</t>
  </si>
  <si>
    <t>10) Lab วิชา………………………….     (12 คน)</t>
  </si>
  <si>
    <t>11) Lab วิชา………………………….     (12 คน)</t>
  </si>
  <si>
    <t>12)  Lab วิชา………………………….    (12คน)</t>
  </si>
  <si>
    <t>13)  Lab วิชา………………………….    (12คน)</t>
  </si>
  <si>
    <t>14)  Lab วิชา………………………….    (12คน)</t>
  </si>
  <si>
    <t>15) Lab วิชา………………………….    (12คน)</t>
  </si>
  <si>
    <r>
      <t>2) สัมมนาวิชา</t>
    </r>
    <r>
      <rPr>
        <sz val="12"/>
        <color indexed="53"/>
        <rFont val="Cordia New"/>
        <family val="2"/>
      </rPr>
      <t>……….……</t>
    </r>
  </si>
  <si>
    <r>
      <t>6) ปฏิบัติ วิชา</t>
    </r>
    <r>
      <rPr>
        <sz val="12"/>
        <color indexed="16"/>
        <rFont val="Cordia New"/>
        <family val="2"/>
      </rPr>
      <t>…………</t>
    </r>
  </si>
  <si>
    <r>
      <t>7) ปฏิบัติ วิชา</t>
    </r>
    <r>
      <rPr>
        <sz val="12"/>
        <color indexed="16"/>
        <rFont val="Cordia New"/>
        <family val="2"/>
      </rPr>
      <t>…………</t>
    </r>
  </si>
  <si>
    <t>วิชาเดียวกันถ้าสอนหลายกลุ่ม แยกบันทึกทีละกลุ่ม</t>
  </si>
  <si>
    <r>
      <t>11)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</si>
  <si>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14) บรรยาย วิชา</t>
    </r>
    <r>
      <rPr>
        <sz val="12"/>
        <color indexed="53"/>
        <rFont val="Cordia New"/>
        <family val="2"/>
      </rPr>
      <t>…………………...………….</t>
    </r>
  </si>
  <si>
    <r>
      <t>15) บรรยาย วิชา</t>
    </r>
    <r>
      <rPr>
        <sz val="12"/>
        <color indexed="53"/>
        <rFont val="Cordia New"/>
        <family val="2"/>
      </rPr>
      <t>…….………………..……….</t>
    </r>
  </si>
  <si>
    <r>
      <t xml:space="preserve">(2) สัมมนา </t>
    </r>
    <r>
      <rPr>
        <sz val="12"/>
        <rFont val="Cordia New"/>
        <family val="2"/>
      </rPr>
      <t xml:space="preserve">1หน่วยกิต = </t>
    </r>
    <r>
      <rPr>
        <sz val="11"/>
        <rFont val="Cordia New"/>
        <family val="2"/>
      </rPr>
      <t>5 หน่วยชั่วโมง [ตรียมสอน (3), สอน (1) และ ตรวจ (1)] ต่อนิสิต  5 คน อาจารย์คิดได้ 1 คน, &gt;5 คิดได้ 2 คน</t>
    </r>
  </si>
  <si>
    <r>
      <t xml:space="preserve">(1) ภาคทฤษฎี: 1 หน่วยกิต </t>
    </r>
    <r>
      <rPr>
        <b/>
        <sz val="11"/>
        <rFont val="Cordia New"/>
        <family val="2"/>
      </rPr>
      <t xml:space="preserve">=5 hr/wk [เตรียมสอน(3), สอน(1) และตรวจงาน(1)] </t>
    </r>
  </si>
  <si>
    <r>
      <t xml:space="preserve">            หมายเหตุ                                     </t>
    </r>
    <r>
      <rPr>
        <sz val="8"/>
        <color indexed="10"/>
        <rFont val="Cordia New"/>
        <family val="2"/>
      </rPr>
      <t xml:space="preserve"> </t>
    </r>
  </si>
  <si>
    <r>
      <t xml:space="preserve">หมายเหตุ </t>
    </r>
    <r>
      <rPr>
        <sz val="11"/>
        <color indexed="10"/>
        <rFont val="Cordia New"/>
        <family val="2"/>
      </rPr>
      <t># หน้า 8 จาก 10</t>
    </r>
  </si>
  <si>
    <r>
      <t xml:space="preserve">หมายเหตุ </t>
    </r>
    <r>
      <rPr>
        <b/>
        <sz val="11"/>
        <color indexed="10"/>
        <rFont val="Cordia New"/>
        <family val="2"/>
      </rPr>
      <t>#หน้า7จาก10</t>
    </r>
  </si>
  <si>
    <t>#หน้า 5 จาก  10</t>
  </si>
  <si>
    <t>#หน้าที่ 6  จาก 10</t>
  </si>
  <si>
    <r>
      <t xml:space="preserve">หมายเหตุ           </t>
    </r>
    <r>
      <rPr>
        <b/>
        <sz val="12"/>
        <color indexed="10"/>
        <rFont val="Cordia New"/>
        <family val="2"/>
      </rPr>
      <t xml:space="preserve"> # หน้า 4 ใน 10</t>
    </r>
  </si>
  <si>
    <t>หมายเหตุ        # หน้า 2 ใน 10</t>
  </si>
  <si>
    <r>
      <t xml:space="preserve">Form Eva1                                 </t>
    </r>
    <r>
      <rPr>
        <sz val="12"/>
        <color indexed="10"/>
        <rFont val="Cordia New"/>
        <family val="2"/>
      </rPr>
      <t xml:space="preserve">   # หน้า 1 ใน 10</t>
    </r>
  </si>
  <si>
    <t>newh5</t>
  </si>
  <si>
    <t xml:space="preserve">คิดภาระงานได้ 1 หน่วย ชม ระบุ.   </t>
  </si>
  <si>
    <t xml:space="preserve">8) ปฏิบัติ วิชา .............       </t>
  </si>
  <si>
    <t xml:space="preserve">9) ปฏิบัติ วิชา .............       </t>
  </si>
  <si>
    <t xml:space="preserve">10) ปฏิบัติ วิชา .............       </t>
  </si>
  <si>
    <t>11) ปฏิบัติ วิชา............ …</t>
  </si>
  <si>
    <t>12) ปฏิบัติ วิชา……………</t>
  </si>
  <si>
    <r>
      <t>(2) ปฏิบัติในห้อง lab</t>
    </r>
    <r>
      <rPr>
        <sz val="12"/>
        <rFont val="Cordia New"/>
        <family val="2"/>
      </rPr>
      <t xml:space="preserve"> 1 หน่วยกิต =6 hr/wk [ตรียมสอน (2), สอน (3) และ ตรวจ (1)] ต่อนิสิต 1 กลุ่ม(10 คน)</t>
    </r>
  </si>
  <si>
    <t xml:space="preserve">            หมายเหตุ                                                              </t>
  </si>
  <si>
    <r>
      <t xml:space="preserve">    </t>
    </r>
    <r>
      <rPr>
        <b/>
        <sz val="12"/>
        <color indexed="10"/>
        <rFont val="Cordia New"/>
        <family val="2"/>
      </rPr>
      <t>ส่วนล่างต่อไปนี้</t>
    </r>
    <r>
      <rPr>
        <b/>
        <sz val="12"/>
        <color indexed="36"/>
        <rFont val="Cordia New"/>
        <family val="2"/>
      </rPr>
      <t xml:space="preserve"> เฉพาะผู้สอนนานาชาติที่สอนเป็นภาษาอังกฤษทั้งหมด ทั้ง ปโท และเอก</t>
    </r>
  </si>
  <si>
    <r>
      <t xml:space="preserve">2) </t>
    </r>
    <r>
      <rPr>
        <sz val="12"/>
        <color indexed="10"/>
        <rFont val="Cordia New"/>
        <family val="2"/>
      </rPr>
      <t xml:space="preserve">วิชา. </t>
    </r>
  </si>
  <si>
    <t>1) บรรยาย วิชา</t>
  </si>
  <si>
    <t>รวมคุมสอบ</t>
  </si>
  <si>
    <t xml:space="preserve">            หมายเหตุ                                                         </t>
  </si>
  <si>
    <t xml:space="preserve">            หมายเหตุ  # หน้าที่3 /10                                </t>
  </si>
  <si>
    <r>
      <t>ครั้งที่ 3</t>
    </r>
    <r>
      <rPr>
        <sz val="12"/>
        <color indexed="63"/>
        <rFont val="Cordia New"/>
        <family val="2"/>
      </rPr>
      <t xml:space="preserve"> สอบจบ</t>
    </r>
    <r>
      <rPr>
        <sz val="12"/>
        <color indexed="60"/>
        <rFont val="Cordia New"/>
        <family val="2"/>
      </rPr>
      <t>( ชื่อ+วันสอบ)</t>
    </r>
  </si>
  <si>
    <r>
      <t>ครั้งที่ 1 เสนอ concept (</t>
    </r>
    <r>
      <rPr>
        <sz val="12"/>
        <color indexed="10"/>
        <rFont val="Cordia New"/>
        <family val="2"/>
      </rPr>
      <t xml:space="preserve"> ชื่อ+วันเสนอ)</t>
    </r>
  </si>
  <si>
    <r>
      <t>ครั้งที่ 4</t>
    </r>
    <r>
      <rPr>
        <sz val="12"/>
        <color indexed="60"/>
        <rFont val="Cordia New"/>
        <family val="2"/>
      </rPr>
      <t xml:space="preserve">  </t>
    </r>
    <r>
      <rPr>
        <sz val="12"/>
        <color indexed="63"/>
        <rFont val="Cordia New"/>
        <family val="2"/>
      </rPr>
      <t>ลงวารสาร</t>
    </r>
    <r>
      <rPr>
        <sz val="12"/>
        <color indexed="60"/>
        <rFont val="Cordia New"/>
        <family val="2"/>
      </rPr>
      <t>( ชื่อ+วันที่ตอบรับ)</t>
    </r>
  </si>
  <si>
    <r>
      <t>ครั้งที่ 4</t>
    </r>
    <r>
      <rPr>
        <sz val="12"/>
        <color indexed="60"/>
        <rFont val="Cordia New"/>
        <family val="2"/>
      </rPr>
      <t xml:space="preserve">  ลงวารสาร( ชื่อ+วันตอบรับ)</t>
    </r>
  </si>
  <si>
    <r>
      <rPr>
        <b/>
        <sz val="12"/>
        <color indexed="62"/>
        <rFont val="Cordia New"/>
        <family val="2"/>
      </rPr>
      <t>(1) ภาคทฤษฎี:</t>
    </r>
    <r>
      <rPr>
        <b/>
        <sz val="12"/>
        <color indexed="18"/>
        <rFont val="Cordia New"/>
        <family val="2"/>
      </rPr>
      <t xml:space="preserve"> </t>
    </r>
    <r>
      <rPr>
        <b/>
        <sz val="11"/>
        <rFont val="Cordia New"/>
        <family val="2"/>
      </rPr>
      <t>1 หน่วยกิต = 3 ชั่วโมงต่อสัปดาห์ [เตรียมสอน(1), สอน(1) และตรวจงาน(1)] ต่อนิสิต50คน</t>
    </r>
  </si>
  <si>
    <r>
      <t xml:space="preserve">(3.1) สัมมนา: 1 หน่วยกิต = 3 ชั่วโมงต่อสัปดาห์ [เตรียมสอน (1), สอน(1) และตรวจงาน (1)] ต่อนิสิต 20 คน </t>
    </r>
    <r>
      <rPr>
        <sz val="12"/>
        <rFont val="Cordia New"/>
        <family val="2"/>
      </rPr>
      <t xml:space="preserve"> </t>
    </r>
  </si>
  <si>
    <t>(3.2) สัมมนา: กรณีนิสิต 50 คนขึ้นไป คิดได้เต็ม 2 คน      ระบุจำนวนผู้สอน</t>
  </si>
  <si>
    <r>
      <rPr>
        <sz val="12"/>
        <color indexed="17"/>
        <rFont val="Cordia New"/>
        <family val="2"/>
      </rPr>
      <t>2) สัมมนาวิชา</t>
    </r>
    <r>
      <rPr>
        <sz val="12"/>
        <color indexed="53"/>
        <rFont val="Cordia New"/>
        <family val="2"/>
      </rPr>
      <t>…………….</t>
    </r>
  </si>
  <si>
    <r>
      <rPr>
        <sz val="12"/>
        <color indexed="10"/>
        <rFont val="Cordia New"/>
        <family val="2"/>
      </rPr>
      <t>1) สัมมนาวิชา</t>
    </r>
    <r>
      <rPr>
        <sz val="12"/>
        <color indexed="53"/>
        <rFont val="Cordia New"/>
        <family val="2"/>
      </rPr>
      <t>…………….</t>
    </r>
  </si>
  <si>
    <t>(ถ้า&gt; 2 คน รวมทุกคนไม่เกินภาระ 2 คน)</t>
  </si>
  <si>
    <t>กรณีผู้สอน 1 คน</t>
  </si>
  <si>
    <t>รวมภาระที่สอน ป ตรี</t>
  </si>
  <si>
    <t>)  =</t>
  </si>
  <si>
    <t>รวมหน่วยกิตที่สอน ป ตรี :  ( ทบ  lab  prac.=</t>
  </si>
  <si>
    <r>
      <t>(4) ปฏิบัติ:</t>
    </r>
    <r>
      <rPr>
        <b/>
        <sz val="12"/>
        <color indexed="60"/>
        <rFont val="Cordia New"/>
        <family val="2"/>
      </rPr>
      <t xml:space="preserve"> </t>
    </r>
    <r>
      <rPr>
        <b/>
        <sz val="12"/>
        <color indexed="36"/>
        <rFont val="Cordia New"/>
        <family val="2"/>
      </rPr>
      <t xml:space="preserve">( หลักสูตร พ.ศ. 2560 เป็นต้นไป;  1 หน่วยกิตคิด 45 ชั่วโมงฝึกงาน)  </t>
    </r>
  </si>
  <si>
    <t>ปฏิบัติ 1 หน่วยกิต =9 hr/wk [ตรียมสอน (2), สอน (4) และ ตรวจ (3)] ต่อนิสิต 5 คน</t>
  </si>
  <si>
    <t>รวมภาระสอนบัณฑิตศึกษา</t>
  </si>
  <si>
    <t>)   =</t>
  </si>
  <si>
    <t>รวมหน่วยกิตสอนบันฑิต Inter: (ทบ lab  prac.=</t>
  </si>
  <si>
    <t>รวมภาระงานที่สอนบัณฑิตศึกษา inter</t>
  </si>
  <si>
    <t>รวมหน่วยกิตที่สอนตลอดภาคเรียน</t>
  </si>
  <si>
    <t xml:space="preserve">  '=</t>
  </si>
  <si>
    <t>3) วิชา                          วันที่</t>
  </si>
  <si>
    <t xml:space="preserve">       แบบกรอกปริมาณงานข้าราชการ ประเภทวิชาการ คณะพยาบาลศาสตร์  ม.บูรพา</t>
  </si>
  <si>
    <t>8) ถึง 12) กรณีมีอาจารย์นิเทศพิเศษแต่อาจารย์ตรวจงานเอ</t>
  </si>
  <si>
    <t>รวมหน่วยกิตสอนบัณฑิตศึกษา : ( ทบ lab  prac  =</t>
  </si>
  <si>
    <t>เฉลี่ยต่อภาคการศึกษา  =</t>
  </si>
  <si>
    <t>รวมการดำเนินงานวิจัยและแหล่งทุน (2.1-2.4)</t>
  </si>
  <si>
    <t>เฉพาะโครงการที่อยู่</t>
  </si>
  <si>
    <t>ช่วงเวลาตามสัญญาวิจัย</t>
  </si>
  <si>
    <r>
      <rPr>
        <sz val="12"/>
        <color indexed="10"/>
        <rFont val="Cordia New"/>
        <family val="2"/>
      </rPr>
      <t>ภายในรอบที่สองของปี</t>
    </r>
    <r>
      <rPr>
        <sz val="12"/>
        <rFont val="Cordia New"/>
        <family val="2"/>
      </rPr>
      <t>ที่ประเมิน</t>
    </r>
  </si>
  <si>
    <t>หรือหนังสือตอบรับในปีที่ประเมิน</t>
  </si>
  <si>
    <t>รวมผลงานวิจัยทั้งสิ้นในรอบนี้</t>
  </si>
  <si>
    <t>รวม 4 บริการวิชาการ (รวมไม่เกิน 6 หน่วยต่อภาคเรียน)</t>
  </si>
  <si>
    <r>
      <t xml:space="preserve">    </t>
    </r>
    <r>
      <rPr>
        <sz val="12"/>
        <color indexed="10"/>
        <rFont val="Cordia New"/>
        <family val="2"/>
      </rPr>
      <t xml:space="preserve"> ระบุ...</t>
    </r>
  </si>
  <si>
    <r>
      <t xml:space="preserve"> (กลุ่ม 1 คิด= </t>
    </r>
    <r>
      <rPr>
        <sz val="12"/>
        <color indexed="62"/>
        <rFont val="Cordia New"/>
        <family val="2"/>
      </rPr>
      <t>4</t>
    </r>
    <r>
      <rPr>
        <sz val="12"/>
        <rFont val="Cordia New"/>
        <family val="2"/>
      </rPr>
      <t xml:space="preserve"> หน่วยฯ, กลุ่ม 2 คิด=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 xml:space="preserve">หน่วยฯ) </t>
    </r>
  </si>
  <si>
    <r>
      <t xml:space="preserve">3.2.2 บทความวิชาการลงพิมพ์วารสารนานาชาติ คิด </t>
    </r>
    <r>
      <rPr>
        <sz val="12"/>
        <color indexed="62"/>
        <rFont val="Cordia New"/>
        <family val="2"/>
      </rPr>
      <t>6</t>
    </r>
    <r>
      <rPr>
        <sz val="12"/>
        <rFont val="Cordia New"/>
        <family val="2"/>
      </rPr>
      <t xml:space="preserve"> หน่วยฯ (ลงสัดส่วน%)</t>
    </r>
  </si>
  <si>
    <t>สรุปแยกรายการ</t>
  </si>
  <si>
    <t>รวม U ป.ตรี</t>
  </si>
  <si>
    <t>รวม U  ที่สอนบัณฑิต</t>
  </si>
  <si>
    <t>รวม U  ที่สอนบัณฑิต Inter</t>
  </si>
  <si>
    <t xml:space="preserve">     สรุปรายงานผลการปฎิบัติงานตามมาตรฐานภาระงานวิชาการ</t>
  </si>
  <si>
    <t xml:space="preserve">       คณะพยาบาลศาสตร์  มหาวิทยาลัยบูุรพา</t>
  </si>
  <si>
    <t>1. งานสอน</t>
  </si>
  <si>
    <t>สรุปงานสอน</t>
  </si>
  <si>
    <t>ผลสัมฤทธ์</t>
  </si>
  <si>
    <t>คะแนนที่ได้</t>
  </si>
  <si>
    <t>(5)</t>
  </si>
  <si>
    <t>(6)</t>
  </si>
  <si>
    <t>(7)</t>
  </si>
  <si>
    <t>คะแนนถ่วงน้ำหนัก</t>
  </si>
  <si>
    <t>น้ำหนัก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</si>
  <si>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</si>
  <si>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</si>
  <si>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</si>
  <si>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</si>
  <si>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(1-5)</t>
  </si>
  <si>
    <t>อ.</t>
  </si>
  <si>
    <t>การพยาบาล....</t>
  </si>
  <si>
    <t>6. งานบริหาร</t>
  </si>
  <si>
    <t>กลุ่ม  &gt;&gt;&gt;</t>
  </si>
  <si>
    <t>1. อจ</t>
  </si>
  <si>
    <t>2. ประธานฯ</t>
  </si>
  <si>
    <t>3. รอง/ผช</t>
  </si>
  <si>
    <r>
      <rPr>
        <b/>
        <u val="single"/>
        <sz val="12"/>
        <color indexed="18"/>
        <rFont val="Cordia New"/>
        <family val="2"/>
      </rPr>
      <t xml:space="preserve">ภาคการศึกษาที่ 2 และ ภาคฤดูร้อน ปีการศึกษา 2560 </t>
    </r>
    <r>
      <rPr>
        <b/>
        <sz val="12"/>
        <color indexed="18"/>
        <rFont val="Cordia New"/>
        <family val="2"/>
      </rPr>
      <t>:</t>
    </r>
    <r>
      <rPr>
        <b/>
        <sz val="12"/>
        <rFont val="Cordia New"/>
        <family val="2"/>
      </rPr>
      <t xml:space="preserve"> </t>
    </r>
    <r>
      <rPr>
        <b/>
        <sz val="12"/>
        <color indexed="17"/>
        <rFont val="Cordia New"/>
        <family val="2"/>
      </rPr>
      <t>(บันทึกการปฏิบัติงานระหว่างวันที่ 1 มกราคม 2561 ถึง วันที่ 30 มิถุนายน 2561)</t>
    </r>
    <r>
      <rPr>
        <b/>
        <sz val="12"/>
        <rFont val="Cordia New"/>
        <family val="2"/>
      </rPr>
      <t xml:space="preserve"> </t>
    </r>
  </si>
  <si>
    <t># หน้า 9 จาก 10</t>
  </si>
  <si>
    <t># หน้า 10 จาก 10</t>
  </si>
  <si>
    <t>ค่าเฉลี่ยจากรอบที่ 1 ยกมา =</t>
  </si>
  <si>
    <r>
      <rPr>
        <b/>
        <sz val="12"/>
        <color indexed="36"/>
        <rFont val="Cordia New"/>
        <family val="2"/>
      </rPr>
      <t xml:space="preserve">รวมการเผยแพร่วิจัย </t>
    </r>
    <r>
      <rPr>
        <b/>
        <sz val="12"/>
        <color indexed="10"/>
        <rFont val="Cordia New"/>
        <family val="2"/>
      </rPr>
      <t xml:space="preserve">              </t>
    </r>
    <r>
      <rPr>
        <b/>
        <sz val="12"/>
        <color indexed="57"/>
        <rFont val="Cordia New"/>
        <family val="2"/>
      </rPr>
      <t xml:space="preserve"> เฉพาะรอบที่ 2   =</t>
    </r>
  </si>
  <si>
    <r>
      <t xml:space="preserve">รวมการเผยแพร่วิทยานิพนธ์นิสิต      </t>
    </r>
    <r>
      <rPr>
        <b/>
        <sz val="12"/>
        <color indexed="57"/>
        <rFont val="Cordia New"/>
        <family val="2"/>
      </rPr>
      <t>เฉพาะรอบที่ 2   =</t>
    </r>
  </si>
  <si>
    <r>
      <rPr>
        <b/>
        <sz val="12"/>
        <color indexed="62"/>
        <rFont val="Cordia New"/>
        <family val="2"/>
      </rPr>
      <t>ข้อมูลงานวิจัย</t>
    </r>
    <r>
      <rPr>
        <b/>
        <sz val="12"/>
        <rFont val="Cordia New"/>
        <family val="2"/>
      </rPr>
      <t>:</t>
    </r>
    <r>
      <rPr>
        <b/>
        <sz val="12"/>
        <color indexed="17"/>
        <rFont val="Cordia New"/>
        <family val="2"/>
      </rPr>
      <t xml:space="preserve"> ( บันทึกข้อมูล 1 มกราคม 2561 - 30 มิถุนายน 2561)</t>
    </r>
    <r>
      <rPr>
        <sz val="12"/>
        <rFont val="Cordia New"/>
        <family val="2"/>
      </rPr>
      <t xml:space="preserve"> (</t>
    </r>
    <r>
      <rPr>
        <sz val="12"/>
        <color indexed="10"/>
        <rFont val="Cordia New"/>
        <family val="2"/>
      </rPr>
      <t xml:space="preserve">กรอกข้อมูล APA style) </t>
    </r>
    <r>
      <rPr>
        <sz val="12"/>
        <rFont val="Cordia New"/>
        <family val="2"/>
      </rPr>
      <t>)</t>
    </r>
  </si>
  <si>
    <r>
      <rPr>
        <b/>
        <sz val="12"/>
        <color indexed="36"/>
        <rFont val="Cordia New"/>
        <family val="2"/>
      </rPr>
      <t>รวม  3 งานวิชาการ</t>
    </r>
    <r>
      <rPr>
        <b/>
        <sz val="12"/>
        <rFont val="Cordia New"/>
        <family val="2"/>
      </rPr>
      <t xml:space="preserve">                </t>
    </r>
    <r>
      <rPr>
        <b/>
        <sz val="12"/>
        <color indexed="57"/>
        <rFont val="Cordia New"/>
        <family val="2"/>
      </rPr>
      <t xml:space="preserve">เฉพาะรอบนี้  = </t>
    </r>
  </si>
  <si>
    <t>รอบ 1&gt;</t>
  </si>
  <si>
    <r>
      <rPr>
        <b/>
        <sz val="12"/>
        <color indexed="10"/>
        <rFont val="Cordia New"/>
        <family val="2"/>
      </rPr>
      <t>ไม่ต้อง</t>
    </r>
    <r>
      <rPr>
        <sz val="12"/>
        <color indexed="60"/>
        <rFont val="Cordia New"/>
        <family val="2"/>
      </rPr>
      <t>นำรอบที่ 1 มารวม</t>
    </r>
  </si>
  <si>
    <r>
      <rPr>
        <b/>
        <sz val="12"/>
        <color indexed="36"/>
        <rFont val="Cordia New"/>
        <family val="2"/>
      </rPr>
      <t>รวม   5. งานโครงการพิเศษ</t>
    </r>
    <r>
      <rPr>
        <b/>
        <sz val="12"/>
        <rFont val="Cordia New"/>
        <family val="2"/>
      </rPr>
      <t xml:space="preserve">     </t>
    </r>
    <r>
      <rPr>
        <b/>
        <sz val="12"/>
        <color indexed="57"/>
        <rFont val="Cordia New"/>
        <family val="2"/>
      </rPr>
      <t xml:space="preserve"> เฉพาะรอบนี้  =</t>
    </r>
  </si>
  <si>
    <r>
      <t xml:space="preserve">รวม 7. งานกิจการนิสิต               </t>
    </r>
    <r>
      <rPr>
        <b/>
        <sz val="12"/>
        <color indexed="57"/>
        <rFont val="Cordia New"/>
        <family val="2"/>
      </rPr>
      <t xml:space="preserve"> เฉพาะรอบนี้  =</t>
    </r>
  </si>
  <si>
    <r>
      <t xml:space="preserve">รวม  8. งานทำนุบำรุงศิลป ฯ       </t>
    </r>
    <r>
      <rPr>
        <b/>
        <sz val="12"/>
        <color indexed="57"/>
        <rFont val="Cordia New"/>
        <family val="2"/>
      </rPr>
      <t>เฉพาะรอบนี้  =</t>
    </r>
  </si>
  <si>
    <r>
      <t xml:space="preserve"> รวม 6 งานบริหาร                  </t>
    </r>
    <r>
      <rPr>
        <b/>
        <sz val="12"/>
        <color indexed="57"/>
        <rFont val="Cordia New"/>
        <family val="2"/>
      </rPr>
      <t xml:space="preserve"> เฉพาะรอบนี้  =</t>
    </r>
  </si>
  <si>
    <t>รอบที่ 2 (1 มค 61 ถึง 30 มิย 61)</t>
  </si>
  <si>
    <r>
      <t xml:space="preserve">             รอบการประเมิน ปีงบประมาณ </t>
    </r>
    <r>
      <rPr>
        <b/>
        <sz val="16"/>
        <color indexed="10"/>
        <rFont val="Cordia New"/>
        <family val="2"/>
      </rPr>
      <t>2561</t>
    </r>
    <r>
      <rPr>
        <b/>
        <sz val="16"/>
        <rFont val="Cordia New"/>
        <family val="2"/>
      </rPr>
      <t xml:space="preserve">  รอบที่ 2  ( 1 ตุลาคม 2561)</t>
    </r>
  </si>
  <si>
    <t>ข้อแนะนำ</t>
  </si>
  <si>
    <t>กลุ่มที่</t>
  </si>
  <si>
    <t>ผู้สอน</t>
  </si>
  <si>
    <t>ประธานสาขาวิชา หรือประธานหลักสูตร</t>
  </si>
  <si>
    <t>รองคณบดี หรือผู้ช่วยคณบดี</t>
  </si>
  <si>
    <t>รวมภาระงานรอบที่ 2</t>
  </si>
  <si>
    <t xml:space="preserve">ในรอบการประเมิน </t>
  </si>
  <si>
    <r>
      <t>หรือมีหนังสือ</t>
    </r>
    <r>
      <rPr>
        <sz val="12"/>
        <color indexed="10"/>
        <rFont val="Cordia New"/>
        <family val="2"/>
      </rPr>
      <t>ตอบรับให้เผยแพร่</t>
    </r>
  </si>
  <si>
    <t>ต้องระบุข้อมูลกลุ่มก่อน ใน cell D12  ด้วยหมายเลขกลุ่ม แล้วใส่ผลการประเมินตนเองใน Column E</t>
  </si>
  <si>
    <r>
      <t xml:space="preserve">                         รอบการประเมิน ปีงบประมาณ </t>
    </r>
    <r>
      <rPr>
        <sz val="11"/>
        <color indexed="10"/>
        <rFont val="Cordia New"/>
        <family val="2"/>
      </rPr>
      <t>2561</t>
    </r>
    <r>
      <rPr>
        <sz val="11"/>
        <rFont val="Cordia New"/>
        <family val="2"/>
      </rPr>
      <t xml:space="preserve">   รอบที่ 2 </t>
    </r>
  </si>
  <si>
    <t>หัวหน้าฯ คิด 60% ผู้ร่วมวิจัยรวม 40 % กระจายเท่า ๆ กัน</t>
  </si>
  <si>
    <r>
      <rPr>
        <b/>
        <sz val="12"/>
        <rFont val="Cordia New"/>
        <family val="2"/>
      </rPr>
      <t>การคิดสัดส่วน :</t>
    </r>
    <r>
      <rPr>
        <sz val="12"/>
        <rFont val="Cordia New"/>
        <family val="2"/>
      </rPr>
      <t xml:space="preserve"> (1) กรณีมีเอกสารแบ่งสัดส่วน หัวหน้าฯ คิดได้ 100%            กรณีไม่มีเอกสารฯ </t>
    </r>
  </si>
  <si>
    <t xml:space="preserve">4.1 งานฝึกอบรม (วิทยากร) หรืองานสอนภายนอกที่ได้รับความเห็นชอบจากมหาวิทยาลัย 1 หน่วยชม. </t>
  </si>
  <si>
    <r>
      <t xml:space="preserve">4.2 ที่ปรึกษาชุมชน/ หน่วยงาน/ องค์กรภายนอกที่เกี่ยวข้องกับวิชาชีพ 1 เรื่อง คิด </t>
    </r>
    <r>
      <rPr>
        <sz val="12"/>
        <color indexed="62"/>
        <rFont val="Cordia New"/>
        <family val="2"/>
      </rPr>
      <t>2</t>
    </r>
    <r>
      <rPr>
        <sz val="12"/>
        <rFont val="Cordia New"/>
        <family val="2"/>
      </rPr>
      <t xml:space="preserve"> หน่วยฯ ระบุ ..........</t>
    </r>
  </si>
  <si>
    <r>
      <t xml:space="preserve">4.3 ที่ปรึกษางานวิจัยนอกหน่วยงาน 1 เรื่อง คิดได้ </t>
    </r>
    <r>
      <rPr>
        <sz val="12"/>
        <color indexed="62"/>
        <rFont val="Cordia New"/>
        <family val="2"/>
      </rPr>
      <t xml:space="preserve">2 </t>
    </r>
    <r>
      <rPr>
        <sz val="12"/>
        <rFont val="Cordia New"/>
        <family val="2"/>
      </rPr>
      <t>หน่วยฯ ระบุ.. .....</t>
    </r>
  </si>
  <si>
    <t>4.4 โครงการ/งานบริการวิชาการนอกหน่วยงานให้เสนอกรรมการประจำคณะ ฯ พิจารณา</t>
  </si>
  <si>
    <t xml:space="preserve">4.5.1 ตรวจเครื่องมือวิจัยหรือวิทยานิพนธ์ (1 ชุด คิด 0.5 หน่วย) </t>
  </si>
  <si>
    <t>4.5.2 เขียนบทความ บทวิทยุ (1 เรื่อง คิด 0.25 หน่วย)</t>
  </si>
  <si>
    <t xml:space="preserve">4.5.3 อ่านบทความวารสาร (1 เรื่อง คิด 0.5 หน่วย)  ระบุ </t>
  </si>
  <si>
    <r>
      <t xml:space="preserve">4.5.4  กรรมการองค์กรวิชาชีพพยาบาล หรือ กก วิชาการของพยาบาล (1 ชุด คิด 0.35 หน่วย) ระบุ </t>
    </r>
    <r>
      <rPr>
        <sz val="12"/>
        <color indexed="10"/>
        <rFont val="Cordia New"/>
        <family val="2"/>
      </rPr>
      <t>.</t>
    </r>
  </si>
  <si>
    <t>4.5.5 กองบรรณาธิการวารสารวิชาชีพพยาบาลต่างๆ (1 ชุด คิด 0.5 หน่วย) ระบุ..</t>
  </si>
  <si>
    <t>4.5.6  กรรมการสอบวิทยานิพนธ์ เค้าโครง นอกสถาบัน (1 เรื่อง คิด 0.5 หน่วย) ระบุ</t>
  </si>
  <si>
    <t xml:space="preserve">4.6.1 ประธาน (1-3 วัน คิด 2 หน่วยฯ,  4-9 วันคิด 3  หน่วยฯ  &gt;= 10 วันคิด 5 หน่วยฯ) </t>
  </si>
  <si>
    <t xml:space="preserve">4.6.1 เลขานุการ(1-3 วัน คิด 1 หน่วยฯ,  4-9 วันคิด 1.5 หน่วยฯ,  &gt;=10 วันคิด 3 หน่วยฯ) </t>
  </si>
  <si>
    <t xml:space="preserve">4.6.1 กรรมการ(1-3 วัน คิด 0.5 หน่วยฯ, 4-9 วันคิด 1 หน่วยฯ, &gt;=10 วันคิด 1.5 หน่วยฯ) </t>
  </si>
  <si>
    <r>
      <t xml:space="preserve">4.6.2.2 ภาระงานปานกลาง: บทความวิทยุ; ประธาน( </t>
    </r>
    <r>
      <rPr>
        <sz val="12"/>
        <color indexed="62"/>
        <rFont val="Cordia New"/>
        <family val="2"/>
      </rPr>
      <t>3 หน่วยฯ</t>
    </r>
    <r>
      <rPr>
        <sz val="12"/>
        <rFont val="Cordia New"/>
        <family val="2"/>
      </rPr>
      <t>)  เลขา(</t>
    </r>
    <r>
      <rPr>
        <sz val="12"/>
        <color indexed="62"/>
        <rFont val="Cordia New"/>
        <family val="2"/>
      </rPr>
      <t>2 หน่วยฯ</t>
    </r>
    <r>
      <rPr>
        <sz val="12"/>
        <rFont val="Cordia New"/>
        <family val="2"/>
      </rPr>
      <t>)  กก (</t>
    </r>
    <r>
      <rPr>
        <sz val="12"/>
        <color indexed="62"/>
        <rFont val="Cordia New"/>
        <family val="2"/>
      </rPr>
      <t>1 หน่วยฯ</t>
    </r>
    <r>
      <rPr>
        <sz val="12"/>
        <rFont val="Cordia New"/>
        <family val="2"/>
      </rPr>
      <t>)</t>
    </r>
  </si>
  <si>
    <t xml:space="preserve">6.2 รองคณบดี   ผู้ช่วยอธิการบดี ประธานสภาพนักงาน  (12 หน่วยฯ) </t>
  </si>
  <si>
    <r>
      <t xml:space="preserve">6.3 ผู้ช่วยคณบดี ประธานสาขาวิชา </t>
    </r>
    <r>
      <rPr>
        <sz val="12"/>
        <rFont val="Cordia New"/>
        <family val="2"/>
      </rPr>
      <t>กก สภา ม.,  กก สภาวิชาการ, กก ประกันคุณภาพ ม. ( 8 หน่วยฯ)</t>
    </r>
  </si>
  <si>
    <r>
      <t>6.6 เลขานุการสาขา เลขาฝ่าย ฯ (2 หน่วยฯ)</t>
    </r>
    <r>
      <rPr>
        <sz val="12"/>
        <color indexed="10"/>
        <rFont val="Cordia New"/>
        <family val="2"/>
      </rPr>
      <t xml:space="preserve"> ระบุ...</t>
    </r>
  </si>
  <si>
    <r>
      <t xml:space="preserve">6.7 ประธาน LRC  ประธานกรรมการพิจารณาจริยธรรมฯ  (2 หน่วยฯ)  </t>
    </r>
    <r>
      <rPr>
        <sz val="12"/>
        <color indexed="10"/>
        <rFont val="Cordia New"/>
        <family val="2"/>
      </rPr>
      <t>ระบุ...</t>
    </r>
  </si>
  <si>
    <r>
      <t>6.9 เลขา และ/ ผู้ช่วยเลขาหลักสูตรรวมไม่เกิน 3 หน่วยฯ (โดยประธานฯพิจารณาให้)</t>
    </r>
    <r>
      <rPr>
        <sz val="12"/>
        <color indexed="10"/>
        <rFont val="Cordia New"/>
        <family val="2"/>
      </rPr>
      <t xml:space="preserve"> ระบุ...</t>
    </r>
  </si>
  <si>
    <t>6.10 กรรมการบริหารหลักสูตร ป ตรี หรือบัณฑิตศึกษา หลักสูตรละ 2 หน่วยฯ คิดได้ไม่เกิน 4 หน่วยฯ</t>
  </si>
  <si>
    <r>
      <t>6.11 กรรมการตามโครงสร้างภายในของคณะฯ</t>
    </r>
    <r>
      <rPr>
        <b/>
        <sz val="16"/>
        <rFont val="Angsana New"/>
        <family val="1"/>
      </rPr>
      <t xml:space="preserve"> </t>
    </r>
    <r>
      <rPr>
        <sz val="12"/>
        <rFont val="Cordia New"/>
        <family val="2"/>
      </rPr>
      <t>1 หน่วยฯ คิดได้ไม่เกิน 3 หน่วยฯ</t>
    </r>
  </si>
  <si>
    <t>6.12 (1)กรรมการประสานงานวิชา ป.ตรี  ท.บ./lab ประธาน (2 หน่วย) เลขาฯ (1 หน่วย) กก ( 0.5 หน่วย)</t>
  </si>
  <si>
    <t>6.12 (2) กรรมการประสานงานวิชา ป.ตรี ฝึกงาน. ประธาน (3 หน่วย) เลขาฯ (1.5 หน่วย) กก ( 0.75 หน่วย)</t>
  </si>
  <si>
    <t>6.13 กรรมการบริหารรายวิชา ป.โท/เอก ประธาน (1 หน่วย) เลขาฯ (0.5 หน่วย) กรรมการ ( 0.25 หน่วย)</t>
  </si>
  <si>
    <t>6.14  รักษาการแทนผู้บริหาร คณบดี รองคณบดี ประธานสาขาวิชา (ทอนภาระงานจากตำแหน่งเดิมลง)</t>
  </si>
  <si>
    <t>4.6.2.1 ภาระงานมาก:หลักสูตรผู้ช่วย อาชีวะ วารสาร อบรมเฉพาะทาง (๔ เดือนขึ้นไป)(ประธาน 6 หน่วย)</t>
  </si>
  <si>
    <r>
      <t xml:space="preserve"> </t>
    </r>
    <r>
      <rPr>
        <sz val="12"/>
        <color indexed="18"/>
        <rFont val="Cordia New"/>
        <family val="2"/>
      </rPr>
      <t xml:space="preserve">การประเมินตามมติที่ประชุมกรรมการประเมินฯ   </t>
    </r>
    <r>
      <rPr>
        <sz val="12"/>
        <color indexed="10"/>
        <rFont val="Cordia New"/>
        <family val="2"/>
      </rPr>
      <t>วันที่ 15 สิงหาคม พ.ศ. 2561</t>
    </r>
    <r>
      <rPr>
        <sz val="12"/>
        <color indexed="18"/>
        <rFont val="Cordia New"/>
        <family val="2"/>
      </rPr>
      <t xml:space="preserve"> </t>
    </r>
  </si>
  <si>
    <t>6.7/1  ประธานศูนย์วิจัยและปฏิบัติการเพื่อการเรียนรู้และพัฒนาเด็กเล็ก คิดได้wไม่เกิน 4 U</t>
  </si>
  <si>
    <t>6.8 ประธานบริหารหลักสูตร ระดับ ป.ตรี หรือ บัณฑิต หลักสูตรละ 6 หน่วยชั่วโมง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</si>
</sst>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#,##0.00_ ;\-#,##0.00\ "/>
    <numFmt numFmtId="178" formatCode="_-* #,##0_-;\-* #,##0_-;_-* &quot;-&quot;??_-;_-@_-"/>
    <numFmt numFmtId="179" formatCode="[$-107041E]d\ mmm\ yy;@"/>
    <numFmt numFmtId="180" formatCode="0.0"/>
    <numFmt numFmtId="181" formatCode="_-* #,##0.0_-;\-* #,##0.0_-;_-* &quot;-&quot;??_-;_-@_-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_-;\-* #,##0.000_-;_-* &quot;-&quot;??_-;_-@_-"/>
  </numFmts>
  <fonts count="183">
    <font>
      <sz val="14"/>
      <name val="Cordia New"/>
      <family val="0"/>
    </font>
    <font>
      <sz val="11"/>
      <color indexed="8"/>
      <name val="Tahoma"/>
      <family val="2"/>
    </font>
    <font>
      <b/>
      <sz val="12"/>
      <name val="Cordia New"/>
      <family val="2"/>
    </font>
    <font>
      <sz val="12"/>
      <name val="Cordia New"/>
      <family val="2"/>
    </font>
    <font>
      <sz val="10"/>
      <name val="Cordia New"/>
      <family val="2"/>
    </font>
    <font>
      <b/>
      <sz val="14"/>
      <name val="Cordia New"/>
      <family val="2"/>
    </font>
    <font>
      <sz val="12"/>
      <color indexed="63"/>
      <name val="Cordia New"/>
      <family val="2"/>
    </font>
    <font>
      <sz val="12"/>
      <color indexed="10"/>
      <name val="Cordia New"/>
      <family val="2"/>
    </font>
    <font>
      <sz val="12"/>
      <color indexed="60"/>
      <name val="Cordia New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MS Sans Serif"/>
      <family val="2"/>
    </font>
    <font>
      <b/>
      <sz val="8"/>
      <color indexed="12"/>
      <name val="MS Sans Serif"/>
      <family val="2"/>
    </font>
    <font>
      <sz val="12"/>
      <color indexed="53"/>
      <name val="Cordia New"/>
      <family val="2"/>
    </font>
    <font>
      <b/>
      <sz val="12"/>
      <color indexed="10"/>
      <name val="Cordia New"/>
      <family val="2"/>
    </font>
    <font>
      <sz val="12"/>
      <color indexed="16"/>
      <name val="Cordia New"/>
      <family val="2"/>
    </font>
    <font>
      <b/>
      <sz val="14"/>
      <color indexed="16"/>
      <name val="Cordia New"/>
      <family val="2"/>
    </font>
    <font>
      <b/>
      <sz val="14"/>
      <color indexed="60"/>
      <name val="Cordia New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8"/>
      <name val="Cordia New"/>
      <family val="2"/>
    </font>
    <font>
      <sz val="12"/>
      <color indexed="12"/>
      <name val="Cordia New"/>
      <family val="2"/>
    </font>
    <font>
      <b/>
      <sz val="10"/>
      <name val="Tahoma"/>
      <family val="2"/>
    </font>
    <font>
      <b/>
      <sz val="16"/>
      <name val="Angsana New"/>
      <family val="1"/>
    </font>
    <font>
      <b/>
      <sz val="11"/>
      <name val="Cordia New"/>
      <family val="2"/>
    </font>
    <font>
      <sz val="11"/>
      <name val="Cordia New"/>
      <family val="2"/>
    </font>
    <font>
      <b/>
      <sz val="12"/>
      <color indexed="18"/>
      <name val="Cordia New"/>
      <family val="2"/>
    </font>
    <font>
      <b/>
      <sz val="12"/>
      <color indexed="62"/>
      <name val="Cordia New"/>
      <family val="2"/>
    </font>
    <font>
      <sz val="10"/>
      <color indexed="16"/>
      <name val="Cordia New"/>
      <family val="2"/>
    </font>
    <font>
      <sz val="11"/>
      <color indexed="10"/>
      <name val="Cordia New"/>
      <family val="2"/>
    </font>
    <font>
      <sz val="10"/>
      <name val="Tahoma"/>
      <family val="2"/>
    </font>
    <font>
      <i/>
      <sz val="12"/>
      <name val="Cordia New"/>
      <family val="2"/>
    </font>
    <font>
      <sz val="9"/>
      <name val="Cordia New"/>
      <family val="2"/>
    </font>
    <font>
      <b/>
      <sz val="12"/>
      <color indexed="53"/>
      <name val="Cordia New"/>
      <family val="2"/>
    </font>
    <font>
      <b/>
      <sz val="10"/>
      <name val="Cordia New"/>
      <family val="2"/>
    </font>
    <font>
      <sz val="11"/>
      <color indexed="53"/>
      <name val="Cordia New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57"/>
      <name val="TH SarabunPSK"/>
      <family val="2"/>
    </font>
    <font>
      <b/>
      <sz val="9"/>
      <name val="Tahoma"/>
      <family val="2"/>
    </font>
    <font>
      <sz val="8"/>
      <color indexed="10"/>
      <name val="Cordia New"/>
      <family val="2"/>
    </font>
    <font>
      <b/>
      <sz val="11"/>
      <color indexed="10"/>
      <name val="Cordia New"/>
      <family val="2"/>
    </font>
    <font>
      <sz val="9"/>
      <name val="Tahoma"/>
      <family val="2"/>
    </font>
    <font>
      <sz val="12"/>
      <color indexed="50"/>
      <name val="Cordia New"/>
      <family val="2"/>
    </font>
    <font>
      <sz val="10"/>
      <name val="Calibri"/>
      <family val="2"/>
    </font>
    <font>
      <b/>
      <sz val="10"/>
      <color indexed="53"/>
      <name val="Cordia New"/>
      <family val="2"/>
    </font>
    <font>
      <sz val="10"/>
      <color indexed="10"/>
      <name val="Cordia New"/>
      <family val="2"/>
    </font>
    <font>
      <b/>
      <sz val="12"/>
      <color indexed="30"/>
      <name val="Cordia New"/>
      <family val="2"/>
    </font>
    <font>
      <sz val="12"/>
      <color indexed="62"/>
      <name val="Cordia New"/>
      <family val="2"/>
    </font>
    <font>
      <b/>
      <sz val="12"/>
      <color indexed="36"/>
      <name val="Cordia New"/>
      <family val="2"/>
    </font>
    <font>
      <b/>
      <sz val="8"/>
      <name val="Cordia New"/>
      <family val="2"/>
    </font>
    <font>
      <b/>
      <sz val="12"/>
      <color indexed="60"/>
      <name val="Cordia New"/>
      <family val="2"/>
    </font>
    <font>
      <sz val="12"/>
      <color indexed="18"/>
      <name val="Cordia New"/>
      <family val="2"/>
    </font>
    <font>
      <b/>
      <sz val="12"/>
      <color indexed="17"/>
      <name val="Cordia New"/>
      <family val="2"/>
    </font>
    <font>
      <sz val="12"/>
      <color indexed="17"/>
      <name val="Cordia New"/>
      <family val="2"/>
    </font>
    <font>
      <b/>
      <u val="single"/>
      <sz val="12"/>
      <color indexed="18"/>
      <name val="Cordia New"/>
      <family val="2"/>
    </font>
    <font>
      <b/>
      <sz val="8"/>
      <name val="Corbel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b/>
      <sz val="12"/>
      <color indexed="57"/>
      <name val="Cordia New"/>
      <family val="2"/>
    </font>
    <font>
      <b/>
      <sz val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Cordia New"/>
      <family val="2"/>
    </font>
    <font>
      <sz val="12"/>
      <color indexed="28"/>
      <name val="Cordia New"/>
      <family val="2"/>
    </font>
    <font>
      <sz val="11"/>
      <color indexed="36"/>
      <name val="Cordia New"/>
      <family val="2"/>
    </font>
    <font>
      <sz val="12"/>
      <color indexed="57"/>
      <name val="Cordia New"/>
      <family val="2"/>
    </font>
    <font>
      <sz val="12"/>
      <color indexed="40"/>
      <name val="Cordia New"/>
      <family val="2"/>
    </font>
    <font>
      <b/>
      <sz val="12"/>
      <color indexed="40"/>
      <name val="Cordia New"/>
      <family val="2"/>
    </font>
    <font>
      <sz val="12"/>
      <color indexed="56"/>
      <name val="Cordia New"/>
      <family val="2"/>
    </font>
    <font>
      <sz val="11"/>
      <color indexed="62"/>
      <name val="Cordia New"/>
      <family val="2"/>
    </font>
    <font>
      <sz val="11"/>
      <color indexed="22"/>
      <name val="Cordia New"/>
      <family val="2"/>
    </font>
    <font>
      <sz val="14"/>
      <color indexed="60"/>
      <name val="Cordia New"/>
      <family val="2"/>
    </font>
    <font>
      <sz val="12"/>
      <color indexed="26"/>
      <name val="Cordia New"/>
      <family val="2"/>
    </font>
    <font>
      <sz val="12"/>
      <color indexed="20"/>
      <name val="Cordia New"/>
      <family val="2"/>
    </font>
    <font>
      <b/>
      <sz val="11"/>
      <color indexed="62"/>
      <name val="Cordia New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6"/>
      <color indexed="62"/>
      <name val="Cordia New"/>
      <family val="2"/>
    </font>
    <font>
      <sz val="16"/>
      <color indexed="36"/>
      <name val="Cordia New"/>
      <family val="2"/>
    </font>
    <font>
      <b/>
      <sz val="16"/>
      <color indexed="36"/>
      <name val="Cordia New"/>
      <family val="2"/>
    </font>
    <font>
      <sz val="16"/>
      <color indexed="17"/>
      <name val="Cordia New"/>
      <family val="2"/>
    </font>
    <font>
      <b/>
      <sz val="16"/>
      <color indexed="17"/>
      <name val="Cordia New"/>
      <family val="2"/>
    </font>
    <font>
      <sz val="16"/>
      <color indexed="60"/>
      <name val="Cordia New"/>
      <family val="2"/>
    </font>
    <font>
      <b/>
      <sz val="12"/>
      <color indexed="28"/>
      <name val="Cordia New"/>
      <family val="2"/>
    </font>
    <font>
      <b/>
      <sz val="14"/>
      <color indexed="10"/>
      <name val="Cordia New"/>
      <family val="2"/>
    </font>
    <font>
      <sz val="14"/>
      <color indexed="62"/>
      <name val="Cordia New"/>
      <family val="2"/>
    </font>
    <font>
      <sz val="14"/>
      <color indexed="57"/>
      <name val="Cordia New"/>
      <family val="2"/>
    </font>
    <font>
      <sz val="12"/>
      <color indexed="10"/>
      <name val="TH SarabunPSK"/>
      <family val="2"/>
    </font>
    <font>
      <b/>
      <sz val="14"/>
      <color indexed="17"/>
      <name val="Cordia New"/>
      <family val="2"/>
    </font>
    <font>
      <sz val="16"/>
      <color indexed="10"/>
      <name val="Cordia New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7" tint="-0.24997000396251678"/>
      <name val="Cordia New"/>
      <family val="2"/>
    </font>
    <font>
      <sz val="12"/>
      <color theme="7" tint="-0.4999699890613556"/>
      <name val="Cordia New"/>
      <family val="2"/>
    </font>
    <font>
      <b/>
      <sz val="12"/>
      <color rgb="FFC00000"/>
      <name val="Cordia New"/>
      <family val="2"/>
    </font>
    <font>
      <sz val="12"/>
      <color rgb="FFC00000"/>
      <name val="Cordia New"/>
      <family val="2"/>
    </font>
    <font>
      <sz val="12"/>
      <color theme="9" tint="-0.24997000396251678"/>
      <name val="Cordia New"/>
      <family val="2"/>
    </font>
    <font>
      <sz val="12"/>
      <color theme="7"/>
      <name val="Cordia New"/>
      <family val="2"/>
    </font>
    <font>
      <sz val="11"/>
      <color theme="7"/>
      <name val="Cordia New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 New"/>
      <family val="2"/>
    </font>
    <font>
      <sz val="12"/>
      <color rgb="FFFF0000"/>
      <name val="Cordia New"/>
      <family val="2"/>
    </font>
    <font>
      <sz val="12"/>
      <color theme="3" tint="0.39998000860214233"/>
      <name val="Cordia New"/>
      <family val="2"/>
    </font>
    <font>
      <sz val="12"/>
      <color theme="9"/>
      <name val="Cordia New"/>
      <family val="2"/>
    </font>
    <font>
      <sz val="12"/>
      <color theme="6" tint="-0.24997000396251678"/>
      <name val="Cordia New"/>
      <family val="2"/>
    </font>
    <font>
      <sz val="12"/>
      <color rgb="FF00B050"/>
      <name val="Cordia New"/>
      <family val="2"/>
    </font>
    <font>
      <sz val="12"/>
      <color theme="5" tint="-0.24997000396251678"/>
      <name val="Cordia New"/>
      <family val="2"/>
    </font>
    <font>
      <sz val="12"/>
      <color rgb="FF7030A0"/>
      <name val="Cordia New"/>
      <family val="2"/>
    </font>
    <font>
      <sz val="12"/>
      <color theme="9" tint="-0.4999699890613556"/>
      <name val="Cordia New"/>
      <family val="2"/>
    </font>
    <font>
      <sz val="11"/>
      <color rgb="FFFF0000"/>
      <name val="Cordia New"/>
      <family val="2"/>
    </font>
    <font>
      <sz val="12"/>
      <color rgb="FF00B0F0"/>
      <name val="Cordia New"/>
      <family val="2"/>
    </font>
    <font>
      <b/>
      <sz val="12"/>
      <color rgb="FF00B0F0"/>
      <name val="Cordia New"/>
      <family val="2"/>
    </font>
    <font>
      <sz val="12"/>
      <color theme="3"/>
      <name val="Cordia New"/>
      <family val="2"/>
    </font>
    <font>
      <b/>
      <sz val="12"/>
      <color rgb="FF7030A0"/>
      <name val="Cordia New"/>
      <family val="2"/>
    </font>
    <font>
      <sz val="11"/>
      <color theme="4" tint="-0.24997000396251678"/>
      <name val="Cordia New"/>
      <family val="2"/>
    </font>
    <font>
      <sz val="11"/>
      <color theme="0" tint="-0.1499900072813034"/>
      <name val="Cordia New"/>
      <family val="2"/>
    </font>
    <font>
      <sz val="14"/>
      <color theme="9" tint="-0.4999699890613556"/>
      <name val="Cordia New"/>
      <family val="2"/>
    </font>
    <font>
      <sz val="12"/>
      <color theme="2"/>
      <name val="Cordia New"/>
      <family val="2"/>
    </font>
    <font>
      <sz val="12"/>
      <color theme="1" tint="0.15000000596046448"/>
      <name val="Cordia New"/>
      <family val="2"/>
    </font>
    <font>
      <b/>
      <sz val="12"/>
      <color theme="3" tint="-0.24997000396251678"/>
      <name val="Cordia New"/>
      <family val="2"/>
    </font>
    <font>
      <b/>
      <sz val="12"/>
      <color theme="7" tint="-0.24997000396251678"/>
      <name val="Cordia New"/>
      <family val="2"/>
    </font>
    <font>
      <sz val="12"/>
      <color rgb="FF800080"/>
      <name val="Cordia New"/>
      <family val="2"/>
    </font>
    <font>
      <b/>
      <sz val="12"/>
      <color theme="3" tint="0.39998000860214233"/>
      <name val="Cordia New"/>
      <family val="2"/>
    </font>
    <font>
      <b/>
      <sz val="12"/>
      <color rgb="FF00B050"/>
      <name val="Cordia New"/>
      <family val="2"/>
    </font>
    <font>
      <b/>
      <sz val="11"/>
      <color theme="3" tint="0.39998000860214233"/>
      <name val="Cordia New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sz val="16"/>
      <color rgb="FF00B050"/>
      <name val="Calibri"/>
      <family val="2"/>
    </font>
    <font>
      <sz val="16"/>
      <color theme="4" tint="-0.24997000396251678"/>
      <name val="Cordia New"/>
      <family val="2"/>
    </font>
    <font>
      <sz val="16"/>
      <color theme="7" tint="-0.24997000396251678"/>
      <name val="Cordia New"/>
      <family val="2"/>
    </font>
    <font>
      <b/>
      <sz val="16"/>
      <color theme="7" tint="-0.24997000396251678"/>
      <name val="Cordia New"/>
      <family val="2"/>
    </font>
    <font>
      <sz val="16"/>
      <color rgb="FF00B050"/>
      <name val="Cordia New"/>
      <family val="2"/>
    </font>
    <font>
      <b/>
      <sz val="16"/>
      <color rgb="FF00B050"/>
      <name val="Cordia New"/>
      <family val="2"/>
    </font>
    <font>
      <sz val="16"/>
      <color theme="3" tint="0.39998000860214233"/>
      <name val="Cordia New"/>
      <family val="2"/>
    </font>
    <font>
      <sz val="16"/>
      <color theme="9" tint="-0.4999699890613556"/>
      <name val="Cordia New"/>
      <family val="2"/>
    </font>
    <font>
      <b/>
      <sz val="12"/>
      <color theme="6" tint="-0.24997000396251678"/>
      <name val="Cordia New"/>
      <family val="2"/>
    </font>
    <font>
      <sz val="11"/>
      <color theme="3" tint="0.39998000860214233"/>
      <name val="Cordia New"/>
      <family val="2"/>
    </font>
    <font>
      <b/>
      <sz val="12"/>
      <color theme="7" tint="-0.4999699890613556"/>
      <name val="Cordia New"/>
      <family val="2"/>
    </font>
    <font>
      <b/>
      <sz val="14"/>
      <color rgb="FFFF0000"/>
      <name val="Cordia New"/>
      <family val="2"/>
    </font>
    <font>
      <sz val="14"/>
      <color theme="3" tint="0.39998000860214233"/>
      <name val="Cordia New"/>
      <family val="2"/>
    </font>
    <font>
      <sz val="14"/>
      <color theme="6" tint="-0.24997000396251678"/>
      <name val="Cordia New"/>
      <family val="2"/>
    </font>
    <font>
      <sz val="12"/>
      <color rgb="FFFF0000"/>
      <name val="TH SarabunPSK"/>
      <family val="2"/>
    </font>
    <font>
      <b/>
      <sz val="14"/>
      <color rgb="FF00B050"/>
      <name val="Cordia New"/>
      <family val="2"/>
    </font>
    <font>
      <sz val="16"/>
      <color rgb="FFFF0000"/>
      <name val="Cordia New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42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hair">
        <color indexed="53"/>
      </top>
      <bottom style="thin"/>
    </border>
    <border>
      <left style="thin"/>
      <right style="thin"/>
      <top/>
      <bottom style="hair">
        <color indexed="53"/>
      </bottom>
    </border>
    <border>
      <left style="thin"/>
      <right style="thin"/>
      <top style="hair">
        <color indexed="53"/>
      </top>
      <bottom style="hair">
        <color indexed="53"/>
      </bottom>
    </border>
    <border>
      <left style="thin"/>
      <right style="thin"/>
      <top style="hair"/>
      <bottom style="thin"/>
    </border>
    <border>
      <left style="thin"/>
      <right/>
      <top style="thin">
        <color indexed="53"/>
      </top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/>
      <right style="thin"/>
      <top style="hair"/>
      <bottom style="hair"/>
    </border>
    <border>
      <left/>
      <right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/>
      <top/>
      <bottom style="hair">
        <color indexed="53"/>
      </bottom>
    </border>
    <border>
      <left style="thin">
        <color rgb="FFFF0000"/>
      </left>
      <right/>
      <top/>
      <bottom/>
    </border>
    <border>
      <left style="thin">
        <color rgb="FFFF0000"/>
      </left>
      <right/>
      <top/>
      <bottom style="thin">
        <color rgb="FFFF0000"/>
      </bottom>
    </border>
    <border>
      <left style="thin"/>
      <right style="thin"/>
      <top/>
      <bottom style="thin">
        <color rgb="FFFF0000"/>
      </bottom>
    </border>
    <border>
      <left style="thin"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/>
      <top style="thin">
        <color rgb="FFFF0000"/>
      </top>
      <bottom/>
    </border>
    <border>
      <left style="thin"/>
      <right style="thin">
        <color rgb="FFFF0000"/>
      </right>
      <top style="thin">
        <color rgb="FFFF0000"/>
      </top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/>
      <bottom style="hair"/>
    </border>
    <border>
      <left style="thin"/>
      <right style="thin"/>
      <top style="hair"/>
      <bottom/>
    </border>
    <border>
      <left style="thin"/>
      <right style="thin">
        <color rgb="FFFF0000"/>
      </right>
      <top style="hair"/>
      <bottom/>
    </border>
    <border>
      <left style="thin"/>
      <right style="thin">
        <color rgb="FFFF0000"/>
      </right>
      <top/>
      <bottom/>
    </border>
    <border>
      <left style="medium">
        <color theme="6" tint="-0.24993999302387238"/>
      </left>
      <right style="thin"/>
      <top style="thin">
        <color rgb="FFFF0000"/>
      </top>
      <bottom/>
    </border>
    <border>
      <left style="medium">
        <color theme="6" tint="-0.24993999302387238"/>
      </left>
      <right/>
      <top/>
      <bottom/>
    </border>
    <border>
      <left/>
      <right style="medium">
        <color theme="6" tint="-0.24993999302387238"/>
      </right>
      <top/>
      <bottom/>
    </border>
    <border>
      <left style="medium">
        <color theme="6" tint="-0.24993999302387238"/>
      </left>
      <right/>
      <top/>
      <bottom style="thin"/>
    </border>
    <border>
      <left/>
      <right style="medium">
        <color theme="6" tint="-0.24993999302387238"/>
      </right>
      <top/>
      <bottom style="thin"/>
    </border>
    <border>
      <left style="medium">
        <color theme="6" tint="-0.24993999302387238"/>
      </left>
      <right/>
      <top style="thin"/>
      <bottom style="medium">
        <color theme="6" tint="-0.24993999302387238"/>
      </bottom>
    </border>
    <border>
      <left style="thin"/>
      <right style="thin"/>
      <top style="thin"/>
      <bottom style="medium">
        <color theme="6" tint="-0.24993999302387238"/>
      </bottom>
    </border>
    <border>
      <left style="thin"/>
      <right/>
      <top style="thin"/>
      <bottom style="medium">
        <color theme="6" tint="-0.24993999302387238"/>
      </bottom>
    </border>
    <border>
      <left/>
      <right/>
      <top style="thin"/>
      <bottom style="medium">
        <color theme="6" tint="-0.24993999302387238"/>
      </bottom>
    </border>
    <border>
      <left style="thin"/>
      <right/>
      <top/>
      <bottom style="thin">
        <color rgb="FFFF0000"/>
      </bottom>
    </border>
    <border>
      <left/>
      <right/>
      <top style="medium">
        <color theme="6" tint="-0.24993999302387238"/>
      </top>
      <bottom style="thin"/>
    </border>
    <border>
      <left/>
      <right style="thin"/>
      <top style="thin">
        <color rgb="FFFF0000"/>
      </top>
      <bottom/>
    </border>
    <border>
      <left style="thin"/>
      <right style="thin"/>
      <top style="hair">
        <color indexed="53"/>
      </top>
      <bottom/>
    </border>
    <border>
      <left style="thin"/>
      <right style="thin"/>
      <top/>
      <bottom style="hair">
        <color rgb="FFFF0000"/>
      </bottom>
    </border>
    <border>
      <left/>
      <right style="thin"/>
      <top style="thin"/>
      <bottom/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/>
      <right style="medium">
        <color rgb="FFFF0000"/>
      </right>
      <top/>
      <bottom style="medium">
        <color rgb="FFFF0000"/>
      </bottom>
    </border>
    <border>
      <left style="thin"/>
      <right/>
      <top style="hair"/>
      <bottom/>
    </border>
    <border>
      <left/>
      <right/>
      <top style="hair"/>
      <bottom style="thin"/>
    </border>
    <border>
      <left style="thin"/>
      <right/>
      <top style="hair"/>
      <bottom style="hair"/>
    </border>
    <border>
      <left>
        <color indexed="63"/>
      </left>
      <right/>
      <top>
        <color indexed="63"/>
      </top>
      <bottom style="dotted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/>
      <top/>
      <bottom style="hair">
        <color rgb="FFFF0000"/>
      </bottom>
    </border>
    <border>
      <left style="thin"/>
      <right/>
      <top style="hair">
        <color rgb="FFFF0000"/>
      </top>
      <bottom style="hair">
        <color rgb="FFFF0000"/>
      </bottom>
    </border>
    <border>
      <left style="thin"/>
      <right style="thin"/>
      <top style="hair">
        <color rgb="FFFF0000"/>
      </top>
      <bottom style="hair">
        <color rgb="FFFF0000"/>
      </bottom>
    </border>
    <border>
      <left style="thin"/>
      <right/>
      <top/>
      <bottom style="hair">
        <color rgb="FF00B050"/>
      </bottom>
    </border>
    <border>
      <left style="thin"/>
      <right style="thin"/>
      <top/>
      <bottom style="hair">
        <color rgb="FF00B050"/>
      </bottom>
    </border>
    <border>
      <left style="hair"/>
      <right style="hair"/>
      <top/>
      <bottom style="hair">
        <color rgb="FF00B050"/>
      </bottom>
    </border>
    <border>
      <left/>
      <right style="thin"/>
      <top/>
      <bottom style="hair">
        <color rgb="FF00B050"/>
      </bottom>
    </border>
    <border>
      <left style="thin"/>
      <right/>
      <top style="hair">
        <color rgb="FF00B050"/>
      </top>
      <bottom style="hair">
        <color rgb="FF00B050"/>
      </bottom>
    </border>
    <border>
      <left style="thin"/>
      <right style="thin"/>
      <top style="hair">
        <color rgb="FF00B050"/>
      </top>
      <bottom style="hair">
        <color rgb="FF00B050"/>
      </bottom>
    </border>
    <border>
      <left style="thin"/>
      <right/>
      <top style="hair">
        <color rgb="FF00B050"/>
      </top>
      <bottom style="hair">
        <color rgb="FFFF0000"/>
      </bottom>
    </border>
    <border>
      <left style="hair"/>
      <right style="hair"/>
      <top style="hair">
        <color rgb="FF00B050"/>
      </top>
      <bottom style="hair">
        <color rgb="FFFF0000"/>
      </bottom>
    </border>
    <border>
      <left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00B050"/>
      </top>
      <bottom style="hair">
        <color rgb="FFFF0000"/>
      </bottom>
    </border>
    <border>
      <left style="thin"/>
      <right style="thin"/>
      <top style="hair">
        <color rgb="FFFF0000"/>
      </top>
      <bottom style="thin"/>
    </border>
    <border>
      <left style="thin"/>
      <right/>
      <top/>
      <bottom style="hair">
        <color theme="7" tint="-0.24993999302387238"/>
      </bottom>
    </border>
    <border>
      <left style="thin"/>
      <right style="thin"/>
      <top/>
      <bottom style="hair">
        <color theme="7" tint="-0.24993999302387238"/>
      </bottom>
    </border>
    <border>
      <left style="hair"/>
      <right style="hair"/>
      <top/>
      <bottom style="hair">
        <color theme="7" tint="-0.24993999302387238"/>
      </bottom>
    </border>
    <border>
      <left/>
      <right style="thin"/>
      <top/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hair">
        <color theme="7" tint="-0.24993999302387238"/>
      </bottom>
    </border>
    <border>
      <left style="thin"/>
      <right style="thin"/>
      <top style="hair">
        <color theme="7" tint="-0.24993999302387238"/>
      </top>
      <bottom style="hair">
        <color theme="7" tint="-0.24993999302387238"/>
      </bottom>
    </border>
    <border>
      <left style="hair"/>
      <right style="hair"/>
      <top style="hair">
        <color theme="7" tint="-0.24993999302387238"/>
      </top>
      <bottom style="hair">
        <color theme="7" tint="-0.24993999302387238"/>
      </bottom>
    </border>
    <border>
      <left/>
      <right style="thin"/>
      <top style="hair">
        <color theme="7" tint="-0.24993999302387238"/>
      </top>
      <bottom style="hair">
        <color theme="7" tint="-0.24993999302387238"/>
      </bottom>
    </border>
    <border>
      <left style="thin"/>
      <right/>
      <top style="hair">
        <color theme="7" tint="-0.24993999302387238"/>
      </top>
      <bottom style="thin"/>
    </border>
    <border>
      <left style="thin"/>
      <right style="thin"/>
      <top style="hair">
        <color theme="7" tint="-0.24993999302387238"/>
      </top>
      <bottom style="thin"/>
    </border>
    <border>
      <left style="thin"/>
      <right/>
      <top style="thin"/>
      <bottom style="medium"/>
    </border>
    <border>
      <left style="thin"/>
      <right/>
      <top style="hair">
        <color rgb="FFFF0000"/>
      </top>
      <bottom style="thin"/>
    </border>
    <border>
      <left style="hair"/>
      <right style="hair"/>
      <top style="hair">
        <color rgb="FFFF0000"/>
      </top>
      <bottom style="thin"/>
    </border>
    <border>
      <left/>
      <right style="thin"/>
      <top style="hair">
        <color rgb="FFFF0000"/>
      </top>
      <bottom style="thin"/>
    </border>
    <border>
      <left style="hair"/>
      <right style="hair"/>
      <top style="hair">
        <color theme="7" tint="-0.24993999302387238"/>
      </top>
      <bottom style="thin"/>
    </border>
    <border>
      <left/>
      <right style="thin"/>
      <top style="hair">
        <color theme="7" tint="-0.24993999302387238"/>
      </top>
      <bottom style="thin"/>
    </border>
    <border>
      <left style="medium">
        <color theme="6" tint="-0.24993999302387238"/>
      </left>
      <right style="thin"/>
      <top/>
      <bottom style="thin"/>
    </border>
    <border>
      <left/>
      <right style="thin"/>
      <top style="hair"/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medium">
        <color rgb="FF7030A0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medium">
        <color theme="6" tint="-0.24993999302387238"/>
      </right>
      <top style="thin"/>
      <bottom style="medium">
        <color theme="6" tint="-0.24993999302387238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>
        <color rgb="FF00B0F0"/>
      </right>
      <top style="thin"/>
      <bottom style="thin"/>
    </border>
    <border>
      <left/>
      <right style="thin"/>
      <top style="thin"/>
      <bottom style="medium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rgb="FF00B0F0"/>
      </top>
      <bottom style="double">
        <color theme="6" tint="-0.24993999302387238"/>
      </bottom>
    </border>
    <border>
      <left style="thin">
        <color rgb="FFFF0000"/>
      </left>
      <right/>
      <top style="thin"/>
      <bottom style="thin"/>
    </border>
    <border>
      <left style="thin">
        <color rgb="FFFF0000"/>
      </left>
      <right style="dotted"/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dotted"/>
      <right style="thin"/>
      <top style="thin"/>
      <bottom style="thin">
        <color rgb="FFFF0000"/>
      </bottom>
    </border>
    <border>
      <left style="thin"/>
      <right style="dotted"/>
      <top style="thin"/>
      <bottom style="thin">
        <color rgb="FFFF0000"/>
      </bottom>
    </border>
    <border>
      <left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/>
      <right/>
      <top style="thin">
        <color rgb="FFFF0000"/>
      </top>
      <bottom style="thin"/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6" tint="-0.4999699890613556"/>
      </left>
      <right style="double">
        <color theme="6" tint="-0.4999699890613556"/>
      </right>
      <top style="double">
        <color theme="6" tint="-0.4999699890613556"/>
      </top>
      <bottom style="double">
        <color theme="6" tint="-0.4999699890613556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double">
        <color theme="7" tint="-0.24993999302387238"/>
      </left>
      <right style="double">
        <color theme="7" tint="-0.24993999302387238"/>
      </right>
      <top style="double">
        <color theme="7" tint="-0.24993999302387238"/>
      </top>
      <bottom style="double">
        <color theme="7" tint="-0.24993999302387238"/>
      </bottom>
    </border>
    <border>
      <left>
        <color indexed="63"/>
      </left>
      <right style="thin"/>
      <top/>
      <bottom style="double">
        <color theme="6" tint="-0.4999699890613556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7" tint="-0.4999699890613556"/>
      </left>
      <right style="double">
        <color theme="7" tint="-0.4999699890613556"/>
      </right>
      <top style="double">
        <color theme="7" tint="-0.4999699890613556"/>
      </top>
      <bottom style="double">
        <color theme="7" tint="-0.4999699890613556"/>
      </bottom>
    </border>
    <border>
      <left>
        <color indexed="63"/>
      </left>
      <right style="thin"/>
      <top style="double">
        <color theme="6" tint="-0.4999699890613556"/>
      </top>
      <bottom/>
    </border>
    <border>
      <left style="thin"/>
      <right style="thin"/>
      <top style="double">
        <color theme="7" tint="-0.24993999302387238"/>
      </top>
      <bottom/>
    </border>
    <border>
      <left style="thin"/>
      <right style="thin"/>
      <top/>
      <bottom style="double">
        <color theme="7" tint="-0.24993999302387238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rgb="FFFF0000"/>
      </top>
      <bottom style="thin"/>
    </border>
    <border>
      <left/>
      <right style="thin"/>
      <top style="thin">
        <color rgb="FFFF0000"/>
      </top>
      <bottom style="thin"/>
    </border>
    <border>
      <left/>
      <right/>
      <top style="thin">
        <color rgb="FFFF0000"/>
      </top>
      <bottom/>
    </border>
    <border>
      <left/>
      <right style="medium">
        <color theme="6" tint="-0.24993999302387238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 style="thin"/>
    </border>
    <border>
      <left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26" borderId="0" applyNumberFormat="0" applyBorder="0" applyAlignment="0" applyProtection="0"/>
    <xf numFmtId="0" fontId="115" fillId="27" borderId="1" applyNumberFormat="0" applyAlignment="0" applyProtection="0"/>
    <xf numFmtId="0" fontId="11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29" borderId="0" applyNumberFormat="0" applyBorder="0" applyAlignment="0" applyProtection="0"/>
    <xf numFmtId="0" fontId="119" fillId="0" borderId="3" applyNumberFormat="0" applyFill="0" applyAlignment="0" applyProtection="0"/>
    <xf numFmtId="0" fontId="120" fillId="0" borderId="4" applyNumberFormat="0" applyFill="0" applyAlignment="0" applyProtection="0"/>
    <xf numFmtId="0" fontId="121" fillId="0" borderId="5" applyNumberFormat="0" applyFill="0" applyAlignment="0" applyProtection="0"/>
    <xf numFmtId="0" fontId="121" fillId="0" borderId="0" applyNumberFormat="0" applyFill="0" applyBorder="0" applyAlignment="0" applyProtection="0"/>
    <xf numFmtId="0" fontId="122" fillId="30" borderId="1" applyNumberFormat="0" applyAlignment="0" applyProtection="0"/>
    <xf numFmtId="0" fontId="123" fillId="0" borderId="6" applyNumberFormat="0" applyFill="0" applyAlignment="0" applyProtection="0"/>
    <xf numFmtId="0" fontId="124" fillId="31" borderId="0" applyNumberFormat="0" applyBorder="0" applyAlignment="0" applyProtection="0"/>
    <xf numFmtId="0" fontId="0" fillId="32" borderId="7" applyNumberFormat="0" applyFont="0" applyAlignment="0" applyProtection="0"/>
    <xf numFmtId="0" fontId="125" fillId="27" borderId="8" applyNumberFormat="0" applyAlignment="0" applyProtection="0"/>
    <xf numFmtId="9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9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2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8" fillId="0" borderId="15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3" fillId="0" borderId="27" xfId="0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26" xfId="0" applyFont="1" applyFill="1" applyBorder="1" applyAlignment="1">
      <alignment/>
    </xf>
    <xf numFmtId="0" fontId="16" fillId="0" borderId="14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15" xfId="0" applyFont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1" fontId="7" fillId="0" borderId="15" xfId="0" applyNumberFormat="1" applyFont="1" applyFill="1" applyBorder="1" applyAlignment="1" applyProtection="1">
      <alignment/>
      <protection locked="0"/>
    </xf>
    <xf numFmtId="1" fontId="7" fillId="0" borderId="21" xfId="0" applyNumberFormat="1" applyFont="1" applyFill="1" applyBorder="1" applyAlignment="1" applyProtection="1">
      <alignment/>
      <protection locked="0"/>
    </xf>
    <xf numFmtId="1" fontId="7" fillId="0" borderId="12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2" xfId="0" applyFont="1" applyFill="1" applyBorder="1" applyAlignment="1" applyProtection="1">
      <alignment horizontal="left"/>
      <protection locked="0"/>
    </xf>
    <xf numFmtId="2" fontId="3" fillId="0" borderId="14" xfId="0" applyNumberFormat="1" applyFont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>
      <alignment/>
    </xf>
    <xf numFmtId="0" fontId="7" fillId="0" borderId="21" xfId="0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/>
      <protection hidden="1"/>
    </xf>
    <xf numFmtId="2" fontId="6" fillId="0" borderId="30" xfId="0" applyNumberFormat="1" applyFont="1" applyFill="1" applyBorder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2" fontId="3" fillId="33" borderId="2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171" fontId="3" fillId="0" borderId="0" xfId="42" applyFont="1" applyAlignment="1">
      <alignment/>
    </xf>
    <xf numFmtId="171" fontId="3" fillId="0" borderId="13" xfId="42" applyFont="1" applyBorder="1" applyAlignment="1">
      <alignment/>
    </xf>
    <xf numFmtId="171" fontId="3" fillId="0" borderId="18" xfId="42" applyFont="1" applyBorder="1" applyAlignment="1">
      <alignment/>
    </xf>
    <xf numFmtId="171" fontId="3" fillId="0" borderId="15" xfId="42" applyFont="1" applyBorder="1" applyAlignment="1">
      <alignment/>
    </xf>
    <xf numFmtId="171" fontId="3" fillId="0" borderId="14" xfId="42" applyFont="1" applyBorder="1" applyAlignment="1">
      <alignment/>
    </xf>
    <xf numFmtId="171" fontId="3" fillId="0" borderId="20" xfId="42" applyFont="1" applyBorder="1" applyAlignment="1">
      <alignment/>
    </xf>
    <xf numFmtId="0" fontId="2" fillId="0" borderId="12" xfId="0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1" fontId="2" fillId="0" borderId="14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 applyProtection="1">
      <alignment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1" fontId="2" fillId="0" borderId="15" xfId="0" applyNumberFormat="1" applyFont="1" applyFill="1" applyBorder="1" applyAlignment="1" applyProtection="1">
      <alignment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3" fillId="0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1" fontId="3" fillId="34" borderId="17" xfId="0" applyNumberFormat="1" applyFont="1" applyFill="1" applyBorder="1" applyAlignment="1" applyProtection="1" quotePrefix="1">
      <alignment horizontal="center"/>
      <protection/>
    </xf>
    <xf numFmtId="1" fontId="3" fillId="34" borderId="17" xfId="0" applyNumberFormat="1" applyFont="1" applyFill="1" applyBorder="1" applyAlignment="1" applyProtection="1">
      <alignment/>
      <protection/>
    </xf>
    <xf numFmtId="2" fontId="3" fillId="34" borderId="17" xfId="0" applyNumberFormat="1" applyFont="1" applyFill="1" applyBorder="1" applyAlignment="1" applyProtection="1" quotePrefix="1">
      <alignment horizontal="center"/>
      <protection/>
    </xf>
    <xf numFmtId="2" fontId="3" fillId="34" borderId="17" xfId="0" applyNumberFormat="1" applyFont="1" applyFill="1" applyBorder="1" applyAlignment="1" applyProtection="1">
      <alignment/>
      <protection/>
    </xf>
    <xf numFmtId="0" fontId="3" fillId="34" borderId="17" xfId="0" applyFont="1" applyFill="1" applyBorder="1" applyAlignment="1" applyProtection="1">
      <alignment/>
      <protection/>
    </xf>
    <xf numFmtId="171" fontId="3" fillId="34" borderId="14" xfId="42" applyFont="1" applyFill="1" applyBorder="1" applyAlignment="1">
      <alignment/>
    </xf>
    <xf numFmtId="2" fontId="6" fillId="0" borderId="32" xfId="0" applyNumberFormat="1" applyFont="1" applyFill="1" applyBorder="1" applyAlignment="1" applyProtection="1">
      <alignment/>
      <protection hidden="1"/>
    </xf>
    <xf numFmtId="2" fontId="6" fillId="0" borderId="21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2" fontId="3" fillId="0" borderId="12" xfId="0" applyNumberFormat="1" applyFont="1" applyFill="1" applyBorder="1" applyAlignment="1" applyProtection="1">
      <alignment/>
      <protection hidden="1"/>
    </xf>
    <xf numFmtId="2" fontId="3" fillId="0" borderId="14" xfId="0" applyNumberFormat="1" applyFont="1" applyFill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 quotePrefix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171" fontId="2" fillId="35" borderId="14" xfId="42" applyFont="1" applyFill="1" applyBorder="1" applyAlignment="1">
      <alignment/>
    </xf>
    <xf numFmtId="0" fontId="3" fillId="0" borderId="17" xfId="0" applyFont="1" applyBorder="1" applyAlignment="1">
      <alignment/>
    </xf>
    <xf numFmtId="2" fontId="23" fillId="0" borderId="23" xfId="0" applyNumberFormat="1" applyFont="1" applyFill="1" applyBorder="1" applyAlignment="1" applyProtection="1">
      <alignment/>
      <protection hidden="1"/>
    </xf>
    <xf numFmtId="2" fontId="23" fillId="0" borderId="25" xfId="0" applyNumberFormat="1" applyFont="1" applyFill="1" applyBorder="1" applyAlignment="1" applyProtection="1">
      <alignment/>
      <protection hidden="1"/>
    </xf>
    <xf numFmtId="2" fontId="23" fillId="0" borderId="24" xfId="0" applyNumberFormat="1" applyFont="1" applyFill="1" applyBorder="1" applyAlignment="1" applyProtection="1">
      <alignment/>
      <protection hidden="1"/>
    </xf>
    <xf numFmtId="2" fontId="23" fillId="0" borderId="32" xfId="0" applyNumberFormat="1" applyFont="1" applyFill="1" applyBorder="1" applyAlignment="1" applyProtection="1">
      <alignment/>
      <protection hidden="1"/>
    </xf>
    <xf numFmtId="2" fontId="23" fillId="0" borderId="34" xfId="0" applyNumberFormat="1" applyFont="1" applyFill="1" applyBorder="1" applyAlignment="1" applyProtection="1">
      <alignment/>
      <protection hidden="1"/>
    </xf>
    <xf numFmtId="2" fontId="23" fillId="0" borderId="15" xfId="0" applyNumberFormat="1" applyFont="1" applyFill="1" applyBorder="1" applyAlignment="1" applyProtection="1">
      <alignment/>
      <protection hidden="1"/>
    </xf>
    <xf numFmtId="2" fontId="23" fillId="0" borderId="22" xfId="0" applyNumberFormat="1" applyFont="1" applyFill="1" applyBorder="1" applyAlignment="1" applyProtection="1">
      <alignment/>
      <protection hidden="1"/>
    </xf>
    <xf numFmtId="2" fontId="23" fillId="0" borderId="35" xfId="0" applyNumberFormat="1" applyFont="1" applyFill="1" applyBorder="1" applyAlignment="1" applyProtection="1">
      <alignment/>
      <protection hidden="1"/>
    </xf>
    <xf numFmtId="2" fontId="23" fillId="0" borderId="36" xfId="0" applyNumberFormat="1" applyFont="1" applyFill="1" applyBorder="1" applyAlignment="1" applyProtection="1">
      <alignment/>
      <protection hidden="1"/>
    </xf>
    <xf numFmtId="2" fontId="23" fillId="0" borderId="37" xfId="0" applyNumberFormat="1" applyFont="1" applyFill="1" applyBorder="1" applyAlignment="1" applyProtection="1">
      <alignment/>
      <protection hidden="1"/>
    </xf>
    <xf numFmtId="2" fontId="23" fillId="0" borderId="34" xfId="0" applyNumberFormat="1" applyFont="1" applyFill="1" applyBorder="1" applyAlignment="1">
      <alignment/>
    </xf>
    <xf numFmtId="2" fontId="23" fillId="0" borderId="38" xfId="0" applyNumberFormat="1" applyFont="1" applyFill="1" applyBorder="1" applyAlignment="1" applyProtection="1">
      <alignment/>
      <protection hidden="1"/>
    </xf>
    <xf numFmtId="2" fontId="23" fillId="0" borderId="33" xfId="0" applyNumberFormat="1" applyFont="1" applyFill="1" applyBorder="1" applyAlignment="1" applyProtection="1">
      <alignment/>
      <protection hidden="1"/>
    </xf>
    <xf numFmtId="2" fontId="23" fillId="0" borderId="39" xfId="0" applyNumberFormat="1" applyFont="1" applyFill="1" applyBorder="1" applyAlignment="1" applyProtection="1">
      <alignment/>
      <protection hidden="1"/>
    </xf>
    <xf numFmtId="0" fontId="3" fillId="34" borderId="13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2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right"/>
      <protection hidden="1"/>
    </xf>
    <xf numFmtId="2" fontId="2" fillId="0" borderId="12" xfId="0" applyNumberFormat="1" applyFont="1" applyFill="1" applyBorder="1" applyAlignment="1" applyProtection="1">
      <alignment horizontal="right"/>
      <protection hidden="1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Fill="1" applyBorder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hidden="1" locked="0"/>
    </xf>
    <xf numFmtId="2" fontId="3" fillId="0" borderId="0" xfId="0" applyNumberFormat="1" applyFont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 quotePrefix="1">
      <alignment horizontal="center"/>
      <protection/>
    </xf>
    <xf numFmtId="0" fontId="3" fillId="0" borderId="14" xfId="0" applyFont="1" applyFill="1" applyBorder="1" applyAlignment="1" applyProtection="1" quotePrefix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right"/>
      <protection hidden="1"/>
    </xf>
    <xf numFmtId="2" fontId="2" fillId="0" borderId="16" xfId="0" applyNumberFormat="1" applyFont="1" applyFill="1" applyBorder="1" applyAlignment="1" applyProtection="1">
      <alignment horizontal="right"/>
      <protection hidden="1"/>
    </xf>
    <xf numFmtId="2" fontId="2" fillId="34" borderId="22" xfId="0" applyNumberFormat="1" applyFont="1" applyFill="1" applyBorder="1" applyAlignment="1" applyProtection="1">
      <alignment horizontal="right"/>
      <protection hidden="1"/>
    </xf>
    <xf numFmtId="2" fontId="2" fillId="0" borderId="26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0" fontId="7" fillId="0" borderId="28" xfId="0" applyFont="1" applyFill="1" applyBorder="1" applyAlignment="1" applyProtection="1" quotePrefix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/>
      <protection/>
    </xf>
    <xf numFmtId="0" fontId="0" fillId="0" borderId="22" xfId="0" applyFill="1" applyBorder="1" applyAlignment="1">
      <alignment/>
    </xf>
    <xf numFmtId="2" fontId="3" fillId="0" borderId="41" xfId="0" applyNumberFormat="1" applyFont="1" applyFill="1" applyBorder="1" applyAlignment="1" applyProtection="1" quotePrefix="1">
      <alignment horizontal="right"/>
      <protection hidden="1"/>
    </xf>
    <xf numFmtId="0" fontId="3" fillId="0" borderId="21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29" fillId="0" borderId="12" xfId="0" applyFont="1" applyFill="1" applyBorder="1" applyAlignment="1" applyProtection="1">
      <alignment/>
      <protection locked="0"/>
    </xf>
    <xf numFmtId="0" fontId="129" fillId="0" borderId="21" xfId="0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 quotePrefix="1">
      <alignment horizontal="center"/>
      <protection hidden="1"/>
    </xf>
    <xf numFmtId="2" fontId="3" fillId="0" borderId="12" xfId="0" applyNumberFormat="1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 quotePrefix="1">
      <alignment horizontal="center"/>
      <protection hidden="1"/>
    </xf>
    <xf numFmtId="2" fontId="3" fillId="0" borderId="16" xfId="0" applyNumberFormat="1" applyFont="1" applyFill="1" applyBorder="1" applyAlignment="1" applyProtection="1" quotePrefix="1">
      <alignment horizontal="center"/>
      <protection hidden="1"/>
    </xf>
    <xf numFmtId="2" fontId="3" fillId="0" borderId="0" xfId="0" applyNumberFormat="1" applyFont="1" applyFill="1" applyBorder="1" applyAlignment="1" applyProtection="1" quotePrefix="1">
      <alignment horizontal="center"/>
      <protection hidden="1"/>
    </xf>
    <xf numFmtId="2" fontId="3" fillId="0" borderId="15" xfId="0" applyNumberFormat="1" applyFont="1" applyFill="1" applyBorder="1" applyAlignment="1" applyProtection="1" quotePrefix="1">
      <alignment horizontal="center"/>
      <protection hidden="1"/>
    </xf>
    <xf numFmtId="2" fontId="3" fillId="0" borderId="13" xfId="0" applyNumberFormat="1" applyFont="1" applyFill="1" applyBorder="1" applyAlignment="1" applyProtection="1" quotePrefix="1">
      <alignment horizontal="center"/>
      <protection hidden="1"/>
    </xf>
    <xf numFmtId="0" fontId="27" fillId="0" borderId="14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 hidden="1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 quotePrefix="1">
      <alignment horizontal="center"/>
      <protection hidden="1"/>
    </xf>
    <xf numFmtId="1" fontId="3" fillId="0" borderId="12" xfId="0" applyNumberFormat="1" applyFont="1" applyFill="1" applyBorder="1" applyAlignment="1" applyProtection="1">
      <alignment/>
      <protection hidden="1"/>
    </xf>
    <xf numFmtId="2" fontId="3" fillId="0" borderId="42" xfId="0" applyNumberFormat="1" applyFont="1" applyFill="1" applyBorder="1" applyAlignment="1" applyProtection="1" quotePrefix="1">
      <alignment horizontal="center"/>
      <protection hidden="1"/>
    </xf>
    <xf numFmtId="2" fontId="3" fillId="0" borderId="43" xfId="0" applyNumberFormat="1" applyFont="1" applyFill="1" applyBorder="1" applyAlignment="1" applyProtection="1" quotePrefix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3" fillId="0" borderId="32" xfId="0" applyNumberFormat="1" applyFont="1" applyFill="1" applyBorder="1" applyAlignment="1" applyProtection="1">
      <alignment/>
      <protection hidden="1"/>
    </xf>
    <xf numFmtId="2" fontId="3" fillId="0" borderId="30" xfId="0" applyNumberFormat="1" applyFont="1" applyFill="1" applyBorder="1" applyAlignment="1" applyProtection="1">
      <alignment/>
      <protection hidden="1"/>
    </xf>
    <xf numFmtId="0" fontId="130" fillId="0" borderId="16" xfId="0" applyFont="1" applyFill="1" applyBorder="1" applyAlignment="1" applyProtection="1">
      <alignment/>
      <protection locked="0"/>
    </xf>
    <xf numFmtId="0" fontId="130" fillId="0" borderId="12" xfId="0" applyFont="1" applyFill="1" applyBorder="1" applyAlignment="1" applyProtection="1">
      <alignment/>
      <protection locked="0"/>
    </xf>
    <xf numFmtId="0" fontId="130" fillId="0" borderId="21" xfId="0" applyFont="1" applyFill="1" applyBorder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hidden="1"/>
    </xf>
    <xf numFmtId="1" fontId="3" fillId="0" borderId="14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/>
      <protection hidden="1"/>
    </xf>
    <xf numFmtId="0" fontId="131" fillId="0" borderId="12" xfId="0" applyFont="1" applyFill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1" fontId="3" fillId="0" borderId="28" xfId="0" applyNumberFormat="1" applyFont="1" applyFill="1" applyBorder="1" applyAlignment="1" applyProtection="1" quotePrefix="1">
      <alignment horizontal="center"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12" xfId="0" applyNumberFormat="1" applyFont="1" applyFill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1" fontId="16" fillId="0" borderId="44" xfId="0" applyNumberFormat="1" applyFont="1" applyFill="1" applyBorder="1" applyAlignment="1" applyProtection="1">
      <alignment horizontal="right"/>
      <protection locked="0"/>
    </xf>
    <xf numFmtId="1" fontId="3" fillId="0" borderId="28" xfId="0" applyNumberFormat="1" applyFont="1" applyFill="1" applyBorder="1" applyAlignment="1" applyProtection="1" quotePrefix="1">
      <alignment/>
      <protection hidden="1"/>
    </xf>
    <xf numFmtId="1" fontId="132" fillId="0" borderId="28" xfId="0" applyNumberFormat="1" applyFont="1" applyFill="1" applyBorder="1" applyAlignment="1" applyProtection="1" quotePrefix="1">
      <alignment horizontal="right"/>
      <protection locked="0"/>
    </xf>
    <xf numFmtId="0" fontId="3" fillId="0" borderId="16" xfId="0" applyFont="1" applyFill="1" applyBorder="1" applyAlignment="1">
      <alignment/>
    </xf>
    <xf numFmtId="0" fontId="3" fillId="0" borderId="21" xfId="0" applyFont="1" applyFill="1" applyBorder="1" applyAlignment="1" applyProtection="1">
      <alignment horizontal="left"/>
      <protection locked="0"/>
    </xf>
    <xf numFmtId="1" fontId="3" fillId="0" borderId="21" xfId="0" applyNumberFormat="1" applyFont="1" applyFill="1" applyBorder="1" applyAlignment="1" applyProtection="1" quotePrefix="1">
      <alignment horizontal="center"/>
      <protection hidden="1"/>
    </xf>
    <xf numFmtId="0" fontId="8" fillId="0" borderId="15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hidden="1"/>
    </xf>
    <xf numFmtId="1" fontId="3" fillId="0" borderId="28" xfId="0" applyNumberFormat="1" applyFont="1" applyFill="1" applyBorder="1" applyAlignment="1" applyProtection="1" quotePrefix="1">
      <alignment horizontal="right"/>
      <protection hidden="1"/>
    </xf>
    <xf numFmtId="1" fontId="3" fillId="0" borderId="21" xfId="0" applyNumberFormat="1" applyFont="1" applyFill="1" applyBorder="1" applyAlignment="1" applyProtection="1" quotePrefix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176" fontId="3" fillId="0" borderId="12" xfId="0" applyNumberFormat="1" applyFont="1" applyFill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1" fontId="132" fillId="0" borderId="44" xfId="0" applyNumberFormat="1" applyFont="1" applyFill="1" applyBorder="1" applyAlignment="1" applyProtection="1">
      <alignment horizontal="right"/>
      <protection locked="0"/>
    </xf>
    <xf numFmtId="2" fontId="3" fillId="0" borderId="14" xfId="0" applyNumberFormat="1" applyFont="1" applyBorder="1" applyAlignment="1" applyProtection="1" quotePrefix="1">
      <alignment horizontal="center"/>
      <protection hidden="1"/>
    </xf>
    <xf numFmtId="0" fontId="3" fillId="0" borderId="22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/>
      <protection hidden="1"/>
    </xf>
    <xf numFmtId="2" fontId="3" fillId="0" borderId="14" xfId="0" applyNumberFormat="1" applyFont="1" applyBorder="1" applyAlignment="1" applyProtection="1">
      <alignment/>
      <protection hidden="1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 quotePrefix="1">
      <alignment horizontal="right"/>
      <protection hidden="1"/>
    </xf>
    <xf numFmtId="0" fontId="3" fillId="0" borderId="21" xfId="0" applyFont="1" applyFill="1" applyBorder="1" applyAlignment="1" applyProtection="1" quotePrefix="1">
      <alignment horizontal="right"/>
      <protection hidden="1"/>
    </xf>
    <xf numFmtId="0" fontId="3" fillId="0" borderId="22" xfId="0" applyFont="1" applyFill="1" applyBorder="1" applyAlignment="1" applyProtection="1" quotePrefix="1">
      <alignment horizontal="right"/>
      <protection hidden="1"/>
    </xf>
    <xf numFmtId="171" fontId="3" fillId="0" borderId="15" xfId="42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locked="0"/>
    </xf>
    <xf numFmtId="2" fontId="3" fillId="33" borderId="15" xfId="0" applyNumberFormat="1" applyFont="1" applyFill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8" xfId="0" applyFont="1" applyBorder="1" applyAlignment="1">
      <alignment/>
    </xf>
    <xf numFmtId="0" fontId="2" fillId="6" borderId="21" xfId="0" applyFont="1" applyFill="1" applyBorder="1" applyAlignment="1" applyProtection="1">
      <alignment horizontal="center"/>
      <protection/>
    </xf>
    <xf numFmtId="0" fontId="3" fillId="6" borderId="13" xfId="0" applyFont="1" applyFill="1" applyBorder="1" applyAlignment="1" quotePrefix="1">
      <alignment horizontal="center"/>
    </xf>
    <xf numFmtId="2" fontId="3" fillId="0" borderId="21" xfId="0" applyNumberFormat="1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178" fontId="7" fillId="0" borderId="47" xfId="42" applyNumberFormat="1" applyFont="1" applyFill="1" applyBorder="1" applyAlignment="1" applyProtection="1" quotePrefix="1">
      <alignment horizontal="center"/>
      <protection locked="0"/>
    </xf>
    <xf numFmtId="179" fontId="7" fillId="0" borderId="47" xfId="0" applyNumberFormat="1" applyFont="1" applyFill="1" applyBorder="1" applyAlignment="1" applyProtection="1" quotePrefix="1">
      <alignment horizontal="center"/>
      <protection locked="0"/>
    </xf>
    <xf numFmtId="179" fontId="3" fillId="0" borderId="47" xfId="0" applyNumberFormat="1" applyFont="1" applyFill="1" applyBorder="1" applyAlignment="1" applyProtection="1" quotePrefix="1">
      <alignment horizontal="right"/>
      <protection hidden="1"/>
    </xf>
    <xf numFmtId="0" fontId="7" fillId="0" borderId="48" xfId="0" applyFont="1" applyFill="1" applyBorder="1" applyAlignment="1" applyProtection="1" quotePrefix="1">
      <alignment horizontal="center"/>
      <protection locked="0"/>
    </xf>
    <xf numFmtId="0" fontId="3" fillId="0" borderId="49" xfId="0" applyFont="1" applyFill="1" applyBorder="1" applyAlignment="1" applyProtection="1">
      <alignment/>
      <protection hidden="1"/>
    </xf>
    <xf numFmtId="0" fontId="2" fillId="0" borderId="50" xfId="0" applyFont="1" applyFill="1" applyBorder="1" applyAlignment="1" applyProtection="1">
      <alignment horizontal="left"/>
      <protection hidden="1"/>
    </xf>
    <xf numFmtId="0" fontId="7" fillId="0" borderId="50" xfId="0" applyFont="1" applyFill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45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4" fillId="0" borderId="52" xfId="0" applyFont="1" applyBorder="1" applyAlignment="1" applyProtection="1">
      <alignment horizontal="center"/>
      <protection hidden="1"/>
    </xf>
    <xf numFmtId="0" fontId="133" fillId="0" borderId="47" xfId="0" applyFont="1" applyFill="1" applyBorder="1" applyAlignment="1" applyProtection="1">
      <alignment horizontal="left"/>
      <protection/>
    </xf>
    <xf numFmtId="2" fontId="36" fillId="0" borderId="21" xfId="0" applyNumberFormat="1" applyFont="1" applyFill="1" applyBorder="1" applyAlignment="1" applyProtection="1">
      <alignment horizontal="right"/>
      <protection hidden="1"/>
    </xf>
    <xf numFmtId="0" fontId="3" fillId="0" borderId="13" xfId="0" applyFont="1" applyBorder="1" applyAlignment="1">
      <alignment horizontal="center"/>
    </xf>
    <xf numFmtId="0" fontId="7" fillId="0" borderId="47" xfId="0" applyNumberFormat="1" applyFont="1" applyFill="1" applyBorder="1" applyAlignment="1" applyProtection="1" quotePrefix="1">
      <alignment horizontal="center"/>
      <protection locked="0"/>
    </xf>
    <xf numFmtId="0" fontId="3" fillId="0" borderId="47" xfId="0" applyNumberFormat="1" applyFont="1" applyFill="1" applyBorder="1" applyAlignment="1" applyProtection="1" quotePrefix="1">
      <alignment horizontal="right"/>
      <protection hidden="1"/>
    </xf>
    <xf numFmtId="179" fontId="7" fillId="4" borderId="32" xfId="0" applyNumberFormat="1" applyFont="1" applyFill="1" applyBorder="1" applyAlignment="1" applyProtection="1" quotePrefix="1">
      <alignment horizontal="center"/>
      <protection hidden="1"/>
    </xf>
    <xf numFmtId="179" fontId="3" fillId="4" borderId="32" xfId="0" applyNumberFormat="1" applyFont="1" applyFill="1" applyBorder="1" applyAlignment="1" applyProtection="1" quotePrefix="1">
      <alignment horizontal="right"/>
      <protection hidden="1"/>
    </xf>
    <xf numFmtId="0" fontId="7" fillId="4" borderId="32" xfId="0" applyNumberFormat="1" applyFont="1" applyFill="1" applyBorder="1" applyAlignment="1" applyProtection="1" quotePrefix="1">
      <alignment horizontal="center"/>
      <protection hidden="1"/>
    </xf>
    <xf numFmtId="0" fontId="7" fillId="4" borderId="53" xfId="0" applyFont="1" applyFill="1" applyBorder="1" applyAlignment="1" applyProtection="1" quotePrefix="1">
      <alignment horizontal="center"/>
      <protection hidden="1"/>
    </xf>
    <xf numFmtId="0" fontId="3" fillId="4" borderId="32" xfId="0" applyNumberFormat="1" applyFont="1" applyFill="1" applyBorder="1" applyAlignment="1" applyProtection="1" quotePrefix="1">
      <alignment horizontal="right"/>
      <protection hidden="1"/>
    </xf>
    <xf numFmtId="179" fontId="7" fillId="0" borderId="54" xfId="0" applyNumberFormat="1" applyFont="1" applyFill="1" applyBorder="1" applyAlignment="1" applyProtection="1" quotePrefix="1">
      <alignment horizontal="center"/>
      <protection locked="0"/>
    </xf>
    <xf numFmtId="179" fontId="3" fillId="0" borderId="54" xfId="0" applyNumberFormat="1" applyFont="1" applyFill="1" applyBorder="1" applyAlignment="1" applyProtection="1" quotePrefix="1">
      <alignment horizontal="right"/>
      <protection locked="0"/>
    </xf>
    <xf numFmtId="0" fontId="133" fillId="0" borderId="54" xfId="0" applyNumberFormat="1" applyFont="1" applyFill="1" applyBorder="1" applyAlignment="1" applyProtection="1" quotePrefix="1">
      <alignment horizontal="center"/>
      <protection locked="0"/>
    </xf>
    <xf numFmtId="0" fontId="133" fillId="0" borderId="54" xfId="0" applyNumberFormat="1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 quotePrefix="1">
      <alignment horizontal="center"/>
      <protection locked="0"/>
    </xf>
    <xf numFmtId="179" fontId="7" fillId="4" borderId="12" xfId="0" applyNumberFormat="1" applyFont="1" applyFill="1" applyBorder="1" applyAlignment="1" applyProtection="1" quotePrefix="1">
      <alignment horizontal="center"/>
      <protection hidden="1"/>
    </xf>
    <xf numFmtId="179" fontId="3" fillId="4" borderId="12" xfId="0" applyNumberFormat="1" applyFont="1" applyFill="1" applyBorder="1" applyAlignment="1" applyProtection="1" quotePrefix="1">
      <alignment horizontal="right"/>
      <protection hidden="1"/>
    </xf>
    <xf numFmtId="0" fontId="7" fillId="4" borderId="12" xfId="0" applyNumberFormat="1" applyFont="1" applyFill="1" applyBorder="1" applyAlignment="1" applyProtection="1" quotePrefix="1">
      <alignment horizontal="center"/>
      <protection hidden="1"/>
    </xf>
    <xf numFmtId="0" fontId="7" fillId="4" borderId="56" xfId="0" applyFont="1" applyFill="1" applyBorder="1" applyAlignment="1" applyProtection="1" quotePrefix="1">
      <alignment horizontal="center"/>
      <protection hidden="1"/>
    </xf>
    <xf numFmtId="178" fontId="31" fillId="0" borderId="54" xfId="42" applyNumberFormat="1" applyFont="1" applyFill="1" applyBorder="1" applyAlignment="1" applyProtection="1" quotePrefix="1">
      <alignment horizontal="center"/>
      <protection locked="0"/>
    </xf>
    <xf numFmtId="178" fontId="31" fillId="4" borderId="12" xfId="42" applyNumberFormat="1" applyFont="1" applyFill="1" applyBorder="1" applyAlignment="1" applyProtection="1" quotePrefix="1">
      <alignment horizontal="center"/>
      <protection hidden="1"/>
    </xf>
    <xf numFmtId="178" fontId="31" fillId="4" borderId="32" xfId="42" applyNumberFormat="1" applyFont="1" applyFill="1" applyBorder="1" applyAlignment="1" applyProtection="1" quotePrefix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171" fontId="3" fillId="0" borderId="12" xfId="42" applyFont="1" applyFill="1" applyBorder="1" applyAlignment="1" applyProtection="1">
      <alignment horizontal="center"/>
      <protection hidden="1"/>
    </xf>
    <xf numFmtId="2" fontId="3" fillId="0" borderId="21" xfId="0" applyNumberFormat="1" applyFont="1" applyFill="1" applyBorder="1" applyAlignment="1" applyProtection="1">
      <alignment horizontal="right"/>
      <protection hidden="1"/>
    </xf>
    <xf numFmtId="171" fontId="3" fillId="0" borderId="21" xfId="42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178" fontId="134" fillId="4" borderId="12" xfId="42" applyNumberFormat="1" applyFont="1" applyFill="1" applyBorder="1" applyAlignment="1" applyProtection="1" quotePrefix="1">
      <alignment horizontal="center"/>
      <protection hidden="1"/>
    </xf>
    <xf numFmtId="179" fontId="134" fillId="4" borderId="12" xfId="0" applyNumberFormat="1" applyFont="1" applyFill="1" applyBorder="1" applyAlignment="1" applyProtection="1" quotePrefix="1">
      <alignment horizontal="center"/>
      <protection hidden="1"/>
    </xf>
    <xf numFmtId="179" fontId="134" fillId="4" borderId="12" xfId="0" applyNumberFormat="1" applyFont="1" applyFill="1" applyBorder="1" applyAlignment="1" applyProtection="1" quotePrefix="1">
      <alignment horizontal="right"/>
      <protection hidden="1"/>
    </xf>
    <xf numFmtId="0" fontId="134" fillId="4" borderId="12" xfId="0" applyNumberFormat="1" applyFont="1" applyFill="1" applyBorder="1" applyAlignment="1" applyProtection="1" quotePrefix="1">
      <alignment horizontal="center"/>
      <protection hidden="1"/>
    </xf>
    <xf numFmtId="0" fontId="134" fillId="4" borderId="56" xfId="0" applyFont="1" applyFill="1" applyBorder="1" applyAlignment="1" applyProtection="1" quotePrefix="1">
      <alignment horizontal="center"/>
      <protection hidden="1"/>
    </xf>
    <xf numFmtId="178" fontId="134" fillId="4" borderId="32" xfId="42" applyNumberFormat="1" applyFont="1" applyFill="1" applyBorder="1" applyAlignment="1" applyProtection="1" quotePrefix="1">
      <alignment horizontal="center"/>
      <protection hidden="1"/>
    </xf>
    <xf numFmtId="179" fontId="134" fillId="4" borderId="32" xfId="0" applyNumberFormat="1" applyFont="1" applyFill="1" applyBorder="1" applyAlignment="1" applyProtection="1" quotePrefix="1">
      <alignment horizontal="center"/>
      <protection hidden="1"/>
    </xf>
    <xf numFmtId="179" fontId="134" fillId="4" borderId="32" xfId="0" applyNumberFormat="1" applyFont="1" applyFill="1" applyBorder="1" applyAlignment="1" applyProtection="1" quotePrefix="1">
      <alignment horizontal="right"/>
      <protection hidden="1"/>
    </xf>
    <xf numFmtId="0" fontId="134" fillId="4" borderId="32" xfId="0" applyNumberFormat="1" applyFont="1" applyFill="1" applyBorder="1" applyAlignment="1" applyProtection="1" quotePrefix="1">
      <alignment horizontal="center"/>
      <protection hidden="1"/>
    </xf>
    <xf numFmtId="0" fontId="134" fillId="4" borderId="32" xfId="0" applyNumberFormat="1" applyFont="1" applyFill="1" applyBorder="1" applyAlignment="1" applyProtection="1" quotePrefix="1">
      <alignment horizontal="right"/>
      <protection hidden="1"/>
    </xf>
    <xf numFmtId="0" fontId="134" fillId="4" borderId="53" xfId="0" applyFont="1" applyFill="1" applyBorder="1" applyAlignment="1" applyProtection="1" quotePrefix="1">
      <alignment horizontal="center"/>
      <protection hidden="1"/>
    </xf>
    <xf numFmtId="178" fontId="135" fillId="4" borderId="12" xfId="42" applyNumberFormat="1" applyFont="1" applyFill="1" applyBorder="1" applyAlignment="1" applyProtection="1" quotePrefix="1">
      <alignment horizontal="center"/>
      <protection hidden="1"/>
    </xf>
    <xf numFmtId="178" fontId="135" fillId="4" borderId="32" xfId="42" applyNumberFormat="1" applyFont="1" applyFill="1" applyBorder="1" applyAlignment="1" applyProtection="1" quotePrefix="1">
      <alignment horizontal="center"/>
      <protection hidden="1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32" xfId="0" applyFont="1" applyFill="1" applyBorder="1" applyAlignment="1" applyProtection="1">
      <alignment horizontal="left"/>
      <protection locked="0"/>
    </xf>
    <xf numFmtId="0" fontId="2" fillId="0" borderId="57" xfId="0" applyFont="1" applyFill="1" applyBorder="1" applyAlignment="1" applyProtection="1">
      <alignment/>
      <protection hidden="1"/>
    </xf>
    <xf numFmtId="0" fontId="2" fillId="0" borderId="58" xfId="0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/>
      <protection locked="0"/>
    </xf>
    <xf numFmtId="0" fontId="3" fillId="0" borderId="60" xfId="0" applyFont="1" applyFill="1" applyBorder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Fill="1" applyBorder="1" applyAlignment="1">
      <alignment/>
    </xf>
    <xf numFmtId="2" fontId="3" fillId="0" borderId="63" xfId="0" applyNumberFormat="1" applyFont="1" applyFill="1" applyBorder="1" applyAlignment="1" applyProtection="1">
      <alignment horizontal="right"/>
      <protection hidden="1"/>
    </xf>
    <xf numFmtId="0" fontId="3" fillId="0" borderId="64" xfId="0" applyFont="1" applyFill="1" applyBorder="1" applyAlignment="1" applyProtection="1">
      <alignment/>
      <protection hidden="1"/>
    </xf>
    <xf numFmtId="0" fontId="3" fillId="0" borderId="65" xfId="0" applyFont="1" applyFill="1" applyBorder="1" applyAlignment="1" applyProtection="1">
      <alignment/>
      <protection hidden="1"/>
    </xf>
    <xf numFmtId="0" fontId="136" fillId="0" borderId="14" xfId="0" applyFont="1" applyFill="1" applyBorder="1" applyAlignment="1" applyProtection="1">
      <alignment horizontal="center"/>
      <protection hidden="1"/>
    </xf>
    <xf numFmtId="2" fontId="3" fillId="4" borderId="14" xfId="0" applyNumberFormat="1" applyFont="1" applyFill="1" applyBorder="1" applyAlignment="1" applyProtection="1" quotePrefix="1">
      <alignment horizontal="center"/>
      <protection hidden="1"/>
    </xf>
    <xf numFmtId="2" fontId="3" fillId="4" borderId="23" xfId="0" applyNumberFormat="1" applyFont="1" applyFill="1" applyBorder="1" applyAlignment="1" applyProtection="1" quotePrefix="1">
      <alignment horizontal="center"/>
      <protection hidden="1"/>
    </xf>
    <xf numFmtId="2" fontId="134" fillId="4" borderId="14" xfId="0" applyNumberFormat="1" applyFont="1" applyFill="1" applyBorder="1" applyAlignment="1" applyProtection="1" quotePrefix="1">
      <alignment horizontal="center"/>
      <protection hidden="1"/>
    </xf>
    <xf numFmtId="2" fontId="134" fillId="4" borderId="23" xfId="0" applyNumberFormat="1" applyFont="1" applyFill="1" applyBorder="1" applyAlignment="1" applyProtection="1" quotePrefix="1">
      <alignment horizontal="center"/>
      <protection hidden="1"/>
    </xf>
    <xf numFmtId="2" fontId="3" fillId="0" borderId="66" xfId="0" applyNumberFormat="1" applyFont="1" applyFill="1" applyBorder="1" applyAlignment="1" applyProtection="1" quotePrefix="1">
      <alignment horizontal="center"/>
      <protection hidden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36" fillId="0" borderId="6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right"/>
      <protection hidden="1"/>
    </xf>
    <xf numFmtId="0" fontId="3" fillId="0" borderId="13" xfId="0" applyFont="1" applyBorder="1" applyAlignment="1" applyProtection="1">
      <alignment/>
      <protection hidden="1"/>
    </xf>
    <xf numFmtId="2" fontId="3" fillId="0" borderId="13" xfId="0" applyNumberFormat="1" applyFont="1" applyBorder="1" applyAlignment="1" applyProtection="1">
      <alignment horizontal="right"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177" fontId="3" fillId="0" borderId="0" xfId="42" applyNumberFormat="1" applyFont="1" applyAlignment="1" applyProtection="1">
      <alignment/>
      <protection hidden="1"/>
    </xf>
    <xf numFmtId="0" fontId="3" fillId="36" borderId="67" xfId="0" applyFont="1" applyFill="1" applyBorder="1" applyAlignment="1">
      <alignment/>
    </xf>
    <xf numFmtId="0" fontId="3" fillId="36" borderId="67" xfId="0" applyFont="1" applyFill="1" applyBorder="1" applyAlignment="1">
      <alignment horizontal="center"/>
    </xf>
    <xf numFmtId="2" fontId="3" fillId="36" borderId="67" xfId="0" applyNumberFormat="1" applyFont="1" applyFill="1" applyBorder="1" applyAlignment="1">
      <alignment horizontal="right"/>
    </xf>
    <xf numFmtId="0" fontId="2" fillId="0" borderId="50" xfId="0" applyFont="1" applyFill="1" applyBorder="1" applyAlignment="1" applyProtection="1">
      <alignment/>
      <protection hidden="1"/>
    </xf>
    <xf numFmtId="0" fontId="2" fillId="0" borderId="68" xfId="0" applyFont="1" applyFill="1" applyBorder="1" applyAlignment="1" applyProtection="1">
      <alignment/>
      <protection hidden="1"/>
    </xf>
    <xf numFmtId="0" fontId="2" fillId="0" borderId="68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1" fontId="137" fillId="0" borderId="12" xfId="0" applyNumberFormat="1" applyFont="1" applyFill="1" applyBorder="1" applyAlignment="1" applyProtection="1">
      <alignment horizontal="right"/>
      <protection hidden="1"/>
    </xf>
    <xf numFmtId="1" fontId="137" fillId="0" borderId="21" xfId="0" applyNumberFormat="1" applyFont="1" applyFill="1" applyBorder="1" applyAlignment="1" applyProtection="1">
      <alignment horizontal="right"/>
      <protection hidden="1"/>
    </xf>
    <xf numFmtId="0" fontId="3" fillId="0" borderId="18" xfId="0" applyFont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 quotePrefix="1">
      <alignment/>
      <protection locked="0"/>
    </xf>
    <xf numFmtId="0" fontId="3" fillId="0" borderId="12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7" xfId="0" applyFont="1" applyBorder="1" applyAlignment="1">
      <alignment horizontal="center"/>
    </xf>
    <xf numFmtId="0" fontId="138" fillId="0" borderId="12" xfId="0" applyFont="1" applyBorder="1" applyAlignment="1" applyProtection="1">
      <alignment/>
      <protection locked="0"/>
    </xf>
    <xf numFmtId="2" fontId="2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 quotePrefix="1">
      <alignment horizontal="right"/>
      <protection hidden="1"/>
    </xf>
    <xf numFmtId="0" fontId="138" fillId="0" borderId="14" xfId="0" applyFont="1" applyFill="1" applyBorder="1" applyAlignment="1" applyProtection="1" quotePrefix="1">
      <alignment horizontal="right"/>
      <protection locked="0"/>
    </xf>
    <xf numFmtId="0" fontId="3" fillId="0" borderId="18" xfId="0" applyFont="1" applyFill="1" applyBorder="1" applyAlignment="1">
      <alignment/>
    </xf>
    <xf numFmtId="0" fontId="138" fillId="0" borderId="16" xfId="0" applyFont="1" applyFill="1" applyBorder="1" applyAlignment="1" applyProtection="1" quotePrefix="1">
      <alignment horizontal="right"/>
      <protection locked="0"/>
    </xf>
    <xf numFmtId="0" fontId="138" fillId="4" borderId="14" xfId="0" applyFont="1" applyFill="1" applyBorder="1" applyAlignment="1" applyProtection="1">
      <alignment horizontal="center"/>
      <protection locked="0"/>
    </xf>
    <xf numFmtId="2" fontId="23" fillId="4" borderId="12" xfId="0" applyNumberFormat="1" applyFont="1" applyFill="1" applyBorder="1" applyAlignment="1" applyProtection="1">
      <alignment horizontal="right"/>
      <protection hidden="1"/>
    </xf>
    <xf numFmtId="0" fontId="138" fillId="4" borderId="20" xfId="0" applyFont="1" applyFill="1" applyBorder="1" applyAlignment="1" applyProtection="1">
      <alignment horizontal="center"/>
      <protection locked="0"/>
    </xf>
    <xf numFmtId="0" fontId="138" fillId="0" borderId="19" xfId="0" applyFont="1" applyFill="1" applyBorder="1" applyAlignment="1" applyProtection="1" quotePrefix="1">
      <alignment horizontal="right"/>
      <protection locked="0"/>
    </xf>
    <xf numFmtId="2" fontId="3" fillId="0" borderId="12" xfId="0" applyNumberFormat="1" applyFont="1" applyFill="1" applyBorder="1" applyAlignment="1" applyProtection="1">
      <alignment horizontal="right"/>
      <protection hidden="1"/>
    </xf>
    <xf numFmtId="0" fontId="7" fillId="0" borderId="14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 quotePrefix="1">
      <alignment horizontal="center"/>
      <protection hidden="1"/>
    </xf>
    <xf numFmtId="0" fontId="8" fillId="0" borderId="13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 hidden="1"/>
    </xf>
    <xf numFmtId="0" fontId="7" fillId="0" borderId="16" xfId="0" applyFont="1" applyFill="1" applyBorder="1" applyAlignment="1" applyProtection="1">
      <alignment horizontal="center"/>
      <protection locked="0"/>
    </xf>
    <xf numFmtId="0" fontId="27" fillId="0" borderId="14" xfId="0" applyFont="1" applyFill="1" applyBorder="1" applyAlignment="1" applyProtection="1">
      <alignment/>
      <protection locked="0"/>
    </xf>
    <xf numFmtId="0" fontId="27" fillId="0" borderId="12" xfId="0" applyFont="1" applyFill="1" applyBorder="1" applyAlignment="1">
      <alignment/>
    </xf>
    <xf numFmtId="0" fontId="7" fillId="0" borderId="28" xfId="0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 quotePrefix="1">
      <alignment horizontal="center"/>
      <protection hidden="1"/>
    </xf>
    <xf numFmtId="0" fontId="3" fillId="34" borderId="15" xfId="0" applyFont="1" applyFill="1" applyBorder="1" applyAlignment="1" applyProtection="1" quotePrefix="1">
      <alignment horizontal="center"/>
      <protection hidden="1"/>
    </xf>
    <xf numFmtId="0" fontId="138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/>
    </xf>
    <xf numFmtId="0" fontId="7" fillId="0" borderId="69" xfId="0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right"/>
      <protection hidden="1"/>
    </xf>
    <xf numFmtId="177" fontId="3" fillId="0" borderId="12" xfId="42" applyNumberFormat="1" applyFont="1" applyFill="1" applyBorder="1" applyAlignment="1" applyProtection="1" quotePrefix="1">
      <alignment horizontal="right"/>
      <protection hidden="1"/>
    </xf>
    <xf numFmtId="0" fontId="7" fillId="0" borderId="70" xfId="0" applyFont="1" applyFill="1" applyBorder="1" applyAlignment="1" applyProtection="1">
      <alignment horizontal="center"/>
      <protection locked="0"/>
    </xf>
    <xf numFmtId="0" fontId="138" fillId="0" borderId="0" xfId="0" applyFont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138" fillId="0" borderId="0" xfId="0" applyFont="1" applyAlignment="1" applyProtection="1">
      <alignment horizontal="center"/>
      <protection locked="0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right"/>
    </xf>
    <xf numFmtId="0" fontId="3" fillId="0" borderId="71" xfId="0" applyFont="1" applyBorder="1" applyAlignment="1" applyProtection="1">
      <alignment/>
      <protection hidden="1"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4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5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2" fontId="23" fillId="0" borderId="30" xfId="0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 applyProtection="1" quotePrefix="1">
      <alignment horizontal="center"/>
      <protection locked="0"/>
    </xf>
    <xf numFmtId="0" fontId="138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2" fontId="18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 applyProtection="1">
      <alignment horizontal="right"/>
      <protection hidden="1"/>
    </xf>
    <xf numFmtId="2" fontId="3" fillId="0" borderId="72" xfId="0" applyNumberFormat="1" applyFont="1" applyFill="1" applyBorder="1" applyAlignment="1" applyProtection="1">
      <alignment horizontal="right"/>
      <protection hidden="1"/>
    </xf>
    <xf numFmtId="2" fontId="3" fillId="0" borderId="73" xfId="0" applyNumberFormat="1" applyFont="1" applyFill="1" applyBorder="1" applyAlignment="1" applyProtection="1">
      <alignment horizontal="right"/>
      <protection hidden="1"/>
    </xf>
    <xf numFmtId="2" fontId="3" fillId="0" borderId="74" xfId="0" applyNumberFormat="1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38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 locked="0"/>
    </xf>
    <xf numFmtId="1" fontId="138" fillId="0" borderId="21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2" fontId="3" fillId="0" borderId="0" xfId="0" applyNumberFormat="1" applyFont="1" applyFill="1" applyAlignment="1">
      <alignment horizontal="right"/>
    </xf>
    <xf numFmtId="0" fontId="138" fillId="0" borderId="14" xfId="0" applyFont="1" applyBorder="1" applyAlignment="1" applyProtection="1">
      <alignment/>
      <protection locked="0"/>
    </xf>
    <xf numFmtId="0" fontId="139" fillId="0" borderId="14" xfId="0" applyFont="1" applyBorder="1" applyAlignment="1" applyProtection="1">
      <alignment/>
      <protection locked="0"/>
    </xf>
    <xf numFmtId="0" fontId="137" fillId="0" borderId="14" xfId="0" applyFont="1" applyBorder="1" applyAlignment="1" applyProtection="1">
      <alignment/>
      <protection locked="0"/>
    </xf>
    <xf numFmtId="171" fontId="3" fillId="36" borderId="14" xfId="42" applyFont="1" applyFill="1" applyBorder="1" applyAlignment="1">
      <alignment/>
    </xf>
    <xf numFmtId="0" fontId="3" fillId="36" borderId="0" xfId="0" applyFont="1" applyFill="1" applyAlignment="1">
      <alignment/>
    </xf>
    <xf numFmtId="0" fontId="0" fillId="37" borderId="0" xfId="0" applyFill="1" applyBorder="1" applyAlignment="1">
      <alignment/>
    </xf>
    <xf numFmtId="0" fontId="140" fillId="37" borderId="14" xfId="0" applyFont="1" applyFill="1" applyBorder="1" applyAlignment="1" applyProtection="1">
      <alignment/>
      <protection locked="0"/>
    </xf>
    <xf numFmtId="0" fontId="141" fillId="0" borderId="12" xfId="0" applyFont="1" applyFill="1" applyBorder="1" applyAlignment="1" applyProtection="1">
      <alignment/>
      <protection locked="0"/>
    </xf>
    <xf numFmtId="0" fontId="141" fillId="37" borderId="12" xfId="0" applyFont="1" applyFill="1" applyBorder="1" applyAlignment="1" applyProtection="1">
      <alignment/>
      <protection locked="0"/>
    </xf>
    <xf numFmtId="0" fontId="138" fillId="0" borderId="12" xfId="0" applyFont="1" applyFill="1" applyBorder="1" applyAlignment="1" applyProtection="1">
      <alignment/>
      <protection locked="0"/>
    </xf>
    <xf numFmtId="0" fontId="142" fillId="37" borderId="14" xfId="0" applyFont="1" applyFill="1" applyBorder="1" applyAlignment="1" applyProtection="1">
      <alignment/>
      <protection locked="0"/>
    </xf>
    <xf numFmtId="2" fontId="133" fillId="0" borderId="75" xfId="0" applyNumberFormat="1" applyFont="1" applyFill="1" applyBorder="1" applyAlignment="1" applyProtection="1" quotePrefix="1">
      <alignment horizontal="center"/>
      <protection hidden="1"/>
    </xf>
    <xf numFmtId="0" fontId="138" fillId="0" borderId="15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38" fillId="0" borderId="0" xfId="0" applyFont="1" applyAlignment="1">
      <alignment horizontal="center"/>
    </xf>
    <xf numFmtId="0" fontId="143" fillId="0" borderId="12" xfId="0" applyFont="1" applyFill="1" applyBorder="1" applyAlignment="1" applyProtection="1">
      <alignment/>
      <protection locked="0"/>
    </xf>
    <xf numFmtId="0" fontId="143" fillId="0" borderId="21" xfId="0" applyFont="1" applyFill="1" applyBorder="1" applyAlignment="1" applyProtection="1">
      <alignment/>
      <protection locked="0"/>
    </xf>
    <xf numFmtId="2" fontId="23" fillId="0" borderId="76" xfId="0" applyNumberFormat="1" applyFont="1" applyFill="1" applyBorder="1" applyAlignment="1" applyProtection="1">
      <alignment/>
      <protection hidden="1"/>
    </xf>
    <xf numFmtId="2" fontId="23" fillId="0" borderId="77" xfId="0" applyNumberFormat="1" applyFont="1" applyFill="1" applyBorder="1" applyAlignment="1" applyProtection="1">
      <alignment horizontal="center"/>
      <protection hidden="1"/>
    </xf>
    <xf numFmtId="2" fontId="6" fillId="0" borderId="33" xfId="0" applyNumberFormat="1" applyFont="1" applyFill="1" applyBorder="1" applyAlignment="1" applyProtection="1">
      <alignment/>
      <protection hidden="1"/>
    </xf>
    <xf numFmtId="0" fontId="138" fillId="0" borderId="21" xfId="0" applyFont="1" applyFill="1" applyBorder="1" applyAlignment="1" applyProtection="1">
      <alignment/>
      <protection locked="0"/>
    </xf>
    <xf numFmtId="171" fontId="3" fillId="0" borderId="0" xfId="42" applyFont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9" xfId="0" applyFont="1" applyFill="1" applyBorder="1" applyAlignment="1" applyProtection="1">
      <alignment horizontal="left"/>
      <protection locked="0"/>
    </xf>
    <xf numFmtId="1" fontId="132" fillId="0" borderId="78" xfId="0" applyNumberFormat="1" applyFont="1" applyFill="1" applyBorder="1" applyAlignment="1" applyProtection="1" quotePrefix="1">
      <alignment horizontal="right"/>
      <protection locked="0"/>
    </xf>
    <xf numFmtId="1" fontId="3" fillId="0" borderId="79" xfId="0" applyNumberFormat="1" applyFont="1" applyFill="1" applyBorder="1" applyAlignment="1" applyProtection="1" quotePrefix="1">
      <alignment/>
      <protection hidden="1"/>
    </xf>
    <xf numFmtId="1" fontId="3" fillId="0" borderId="79" xfId="0" applyNumberFormat="1" applyFont="1" applyFill="1" applyBorder="1" applyAlignment="1" applyProtection="1" quotePrefix="1">
      <alignment horizontal="center"/>
      <protection hidden="1"/>
    </xf>
    <xf numFmtId="0" fontId="8" fillId="0" borderId="80" xfId="0" applyFont="1" applyBorder="1" applyAlignment="1" applyProtection="1">
      <alignment/>
      <protection locked="0"/>
    </xf>
    <xf numFmtId="1" fontId="7" fillId="0" borderId="21" xfId="0" applyNumberFormat="1" applyFont="1" applyFill="1" applyBorder="1" applyAlignment="1" applyProtection="1" quotePrefix="1">
      <alignment horizontal="right"/>
      <protection locked="0"/>
    </xf>
    <xf numFmtId="1" fontId="132" fillId="0" borderId="79" xfId="0" applyNumberFormat="1" applyFont="1" applyFill="1" applyBorder="1" applyAlignment="1" applyProtection="1" quotePrefix="1">
      <alignment horizontal="right"/>
      <protection locked="0"/>
    </xf>
    <xf numFmtId="2" fontId="3" fillId="0" borderId="80" xfId="0" applyNumberFormat="1" applyFont="1" applyBorder="1" applyAlignment="1" applyProtection="1" quotePrefix="1">
      <alignment horizontal="center"/>
      <protection hidden="1"/>
    </xf>
    <xf numFmtId="1" fontId="132" fillId="0" borderId="21" xfId="0" applyNumberFormat="1" applyFont="1" applyFill="1" applyBorder="1" applyAlignment="1" applyProtection="1" quotePrefix="1">
      <alignment horizontal="right"/>
      <protection locked="0"/>
    </xf>
    <xf numFmtId="2" fontId="3" fillId="0" borderId="15" xfId="0" applyNumberFormat="1" applyFont="1" applyBorder="1" applyAlignment="1" applyProtection="1" quotePrefix="1">
      <alignment horizontal="center"/>
      <protection hidden="1"/>
    </xf>
    <xf numFmtId="0" fontId="3" fillId="6" borderId="13" xfId="0" applyFont="1" applyFill="1" applyBorder="1" applyAlignment="1" applyProtection="1" quotePrefix="1">
      <alignment horizontal="center"/>
      <protection hidden="1"/>
    </xf>
    <xf numFmtId="171" fontId="2" fillId="35" borderId="18" xfId="42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/>
      <protection hidden="1"/>
    </xf>
    <xf numFmtId="0" fontId="30" fillId="0" borderId="21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6" fillId="0" borderId="17" xfId="0" applyFont="1" applyFill="1" applyBorder="1" applyAlignment="1">
      <alignment horizontal="center"/>
    </xf>
    <xf numFmtId="1" fontId="144" fillId="0" borderId="40" xfId="0" applyNumberFormat="1" applyFont="1" applyFill="1" applyBorder="1" applyAlignment="1" quotePrefix="1">
      <alignment horizontal="center"/>
    </xf>
    <xf numFmtId="2" fontId="144" fillId="0" borderId="40" xfId="0" applyNumberFormat="1" applyFont="1" applyFill="1" applyBorder="1" applyAlignment="1" quotePrefix="1">
      <alignment horizontal="center"/>
    </xf>
    <xf numFmtId="2" fontId="144" fillId="0" borderId="40" xfId="0" applyNumberFormat="1" applyFont="1" applyFill="1" applyBorder="1" applyAlignment="1" applyProtection="1" quotePrefix="1">
      <alignment horizontal="center"/>
      <protection/>
    </xf>
    <xf numFmtId="0" fontId="136" fillId="0" borderId="13" xfId="0" applyFont="1" applyFill="1" applyBorder="1" applyAlignment="1">
      <alignment horizontal="center"/>
    </xf>
    <xf numFmtId="0" fontId="138" fillId="0" borderId="0" xfId="0" applyFont="1" applyBorder="1" applyAlignment="1" applyProtection="1">
      <alignment/>
      <protection locked="0"/>
    </xf>
    <xf numFmtId="1" fontId="7" fillId="0" borderId="81" xfId="0" applyNumberFormat="1" applyFont="1" applyFill="1" applyBorder="1" applyAlignment="1" applyProtection="1">
      <alignment/>
      <protection locked="0"/>
    </xf>
    <xf numFmtId="1" fontId="7" fillId="0" borderId="70" xfId="0" applyNumberFormat="1" applyFont="1" applyFill="1" applyBorder="1" applyAlignment="1" applyProtection="1">
      <alignment/>
      <protection locked="0"/>
    </xf>
    <xf numFmtId="1" fontId="7" fillId="0" borderId="82" xfId="0" applyNumberFormat="1" applyFont="1" applyFill="1" applyBorder="1" applyAlignment="1" applyProtection="1">
      <alignment/>
      <protection locked="0"/>
    </xf>
    <xf numFmtId="1" fontId="7" fillId="0" borderId="83" xfId="0" applyNumberFormat="1" applyFont="1" applyFill="1" applyBorder="1" applyAlignment="1" applyProtection="1">
      <alignment/>
      <protection locked="0"/>
    </xf>
    <xf numFmtId="1" fontId="7" fillId="0" borderId="84" xfId="0" applyNumberFormat="1" applyFont="1" applyFill="1" applyBorder="1" applyAlignment="1" applyProtection="1">
      <alignment/>
      <protection locked="0"/>
    </xf>
    <xf numFmtId="1" fontId="7" fillId="0" borderId="85" xfId="0" applyNumberFormat="1" applyFont="1" applyFill="1" applyBorder="1" applyAlignment="1" applyProtection="1">
      <alignment/>
      <protection locked="0"/>
    </xf>
    <xf numFmtId="2" fontId="142" fillId="0" borderId="84" xfId="0" applyNumberFormat="1" applyFont="1" applyFill="1" applyBorder="1" applyAlignment="1" applyProtection="1">
      <alignment/>
      <protection hidden="1"/>
    </xf>
    <xf numFmtId="2" fontId="142" fillId="0" borderId="86" xfId="0" applyNumberFormat="1" applyFont="1" applyFill="1" applyBorder="1" applyAlignment="1" applyProtection="1">
      <alignment/>
      <protection hidden="1"/>
    </xf>
    <xf numFmtId="2" fontId="142" fillId="0" borderId="87" xfId="0" applyNumberFormat="1" applyFont="1" applyFill="1" applyBorder="1" applyAlignment="1" applyProtection="1">
      <alignment/>
      <protection hidden="1"/>
    </xf>
    <xf numFmtId="2" fontId="6" fillId="0" borderId="85" xfId="0" applyNumberFormat="1" applyFont="1" applyFill="1" applyBorder="1" applyAlignment="1" applyProtection="1">
      <alignment/>
      <protection hidden="1"/>
    </xf>
    <xf numFmtId="1" fontId="7" fillId="0" borderId="88" xfId="0" applyNumberFormat="1" applyFont="1" applyFill="1" applyBorder="1" applyAlignment="1" applyProtection="1">
      <alignment/>
      <protection locked="0"/>
    </xf>
    <xf numFmtId="1" fontId="7" fillId="0" borderId="89" xfId="0" applyNumberFormat="1" applyFont="1" applyFill="1" applyBorder="1" applyAlignment="1" applyProtection="1">
      <alignment/>
      <protection locked="0"/>
    </xf>
    <xf numFmtId="2" fontId="6" fillId="0" borderId="89" xfId="0" applyNumberFormat="1" applyFont="1" applyFill="1" applyBorder="1" applyAlignment="1" applyProtection="1">
      <alignment/>
      <protection hidden="1"/>
    </xf>
    <xf numFmtId="2" fontId="145" fillId="0" borderId="90" xfId="0" applyNumberFormat="1" applyFont="1" applyFill="1" applyBorder="1" applyAlignment="1" applyProtection="1">
      <alignment/>
      <protection hidden="1"/>
    </xf>
    <xf numFmtId="2" fontId="145" fillId="0" borderId="91" xfId="0" applyNumberFormat="1" applyFont="1" applyFill="1" applyBorder="1" applyAlignment="1" applyProtection="1">
      <alignment/>
      <protection hidden="1"/>
    </xf>
    <xf numFmtId="2" fontId="145" fillId="0" borderId="92" xfId="0" applyNumberFormat="1" applyFont="1" applyFill="1" applyBorder="1" applyAlignment="1" applyProtection="1">
      <alignment/>
      <protection hidden="1"/>
    </xf>
    <xf numFmtId="2" fontId="6" fillId="0" borderId="93" xfId="0" applyNumberFormat="1" applyFont="1" applyFill="1" applyBorder="1" applyAlignment="1" applyProtection="1">
      <alignment/>
      <protection hidden="1"/>
    </xf>
    <xf numFmtId="2" fontId="6" fillId="0" borderId="83" xfId="0" applyNumberFormat="1" applyFont="1" applyFill="1" applyBorder="1" applyAlignment="1" applyProtection="1">
      <alignment/>
      <protection hidden="1"/>
    </xf>
    <xf numFmtId="1" fontId="7" fillId="37" borderId="88" xfId="0" applyNumberFormat="1" applyFont="1" applyFill="1" applyBorder="1" applyAlignment="1" applyProtection="1">
      <alignment/>
      <protection locked="0"/>
    </xf>
    <xf numFmtId="1" fontId="7" fillId="37" borderId="89" xfId="0" applyNumberFormat="1" applyFont="1" applyFill="1" applyBorder="1" applyAlignment="1" applyProtection="1">
      <alignment/>
      <protection locked="0"/>
    </xf>
    <xf numFmtId="1" fontId="7" fillId="0" borderId="90" xfId="0" applyNumberFormat="1" applyFont="1" applyFill="1" applyBorder="1" applyAlignment="1" applyProtection="1">
      <alignment/>
      <protection locked="0"/>
    </xf>
    <xf numFmtId="1" fontId="7" fillId="0" borderId="93" xfId="0" applyNumberFormat="1" applyFont="1" applyFill="1" applyBorder="1" applyAlignment="1" applyProtection="1">
      <alignment/>
      <protection locked="0"/>
    </xf>
    <xf numFmtId="2" fontId="6" fillId="0" borderId="94" xfId="0" applyNumberFormat="1" applyFont="1" applyFill="1" applyBorder="1" applyAlignment="1" applyProtection="1">
      <alignment/>
      <protection hidden="1"/>
    </xf>
    <xf numFmtId="1" fontId="138" fillId="38" borderId="77" xfId="0" applyNumberFormat="1" applyFont="1" applyFill="1" applyBorder="1" applyAlignment="1" applyProtection="1">
      <alignment/>
      <protection locked="0"/>
    </xf>
    <xf numFmtId="1" fontId="138" fillId="38" borderId="33" xfId="0" applyNumberFormat="1" applyFont="1" applyFill="1" applyBorder="1" applyAlignment="1" applyProtection="1">
      <alignment/>
      <protection locked="0"/>
    </xf>
    <xf numFmtId="1" fontId="138" fillId="38" borderId="35" xfId="0" applyNumberFormat="1" applyFont="1" applyFill="1" applyBorder="1" applyAlignment="1" applyProtection="1">
      <alignment/>
      <protection locked="0"/>
    </xf>
    <xf numFmtId="1" fontId="138" fillId="38" borderId="30" xfId="0" applyNumberFormat="1" applyFont="1" applyFill="1" applyBorder="1" applyAlignment="1" applyProtection="1">
      <alignment/>
      <protection locked="0"/>
    </xf>
    <xf numFmtId="1" fontId="138" fillId="0" borderId="13" xfId="0" applyNumberFormat="1" applyFont="1" applyFill="1" applyBorder="1" applyAlignment="1" applyProtection="1">
      <alignment/>
      <protection locked="0"/>
    </xf>
    <xf numFmtId="1" fontId="138" fillId="0" borderId="23" xfId="0" applyNumberFormat="1" applyFont="1" applyFill="1" applyBorder="1" applyAlignment="1" applyProtection="1">
      <alignment/>
      <protection locked="0"/>
    </xf>
    <xf numFmtId="1" fontId="138" fillId="0" borderId="32" xfId="0" applyNumberFormat="1" applyFont="1" applyFill="1" applyBorder="1" applyAlignment="1" applyProtection="1">
      <alignment/>
      <protection locked="0"/>
    </xf>
    <xf numFmtId="1" fontId="138" fillId="0" borderId="77" xfId="0" applyNumberFormat="1" applyFont="1" applyFill="1" applyBorder="1" applyAlignment="1" applyProtection="1">
      <alignment/>
      <protection locked="0"/>
    </xf>
    <xf numFmtId="1" fontId="138" fillId="0" borderId="33" xfId="0" applyNumberFormat="1" applyFont="1" applyFill="1" applyBorder="1" applyAlignment="1" applyProtection="1">
      <alignment/>
      <protection locked="0"/>
    </xf>
    <xf numFmtId="1" fontId="138" fillId="0" borderId="15" xfId="0" applyNumberFormat="1" applyFont="1" applyFill="1" applyBorder="1" applyAlignment="1" applyProtection="1">
      <alignment/>
      <protection locked="0"/>
    </xf>
    <xf numFmtId="1" fontId="138" fillId="0" borderId="34" xfId="0" applyNumberFormat="1" applyFont="1" applyFill="1" applyBorder="1" applyAlignment="1" applyProtection="1">
      <alignment/>
      <protection locked="0"/>
    </xf>
    <xf numFmtId="1" fontId="7" fillId="0" borderId="23" xfId="0" applyNumberFormat="1" applyFont="1" applyFill="1" applyBorder="1" applyAlignment="1" applyProtection="1">
      <alignment/>
      <protection locked="0"/>
    </xf>
    <xf numFmtId="1" fontId="7" fillId="0" borderId="32" xfId="0" applyNumberFormat="1" applyFont="1" applyFill="1" applyBorder="1" applyAlignment="1" applyProtection="1">
      <alignment/>
      <protection locked="0"/>
    </xf>
    <xf numFmtId="1" fontId="7" fillId="0" borderId="77" xfId="0" applyNumberFormat="1" applyFont="1" applyFill="1" applyBorder="1" applyAlignment="1" applyProtection="1">
      <alignment/>
      <protection locked="0"/>
    </xf>
    <xf numFmtId="1" fontId="7" fillId="0" borderId="33" xfId="0" applyNumberFormat="1" applyFont="1" applyFill="1" applyBorder="1" applyAlignment="1" applyProtection="1">
      <alignment/>
      <protection locked="0"/>
    </xf>
    <xf numFmtId="2" fontId="129" fillId="0" borderId="15" xfId="0" applyNumberFormat="1" applyFont="1" applyFill="1" applyBorder="1" applyAlignment="1" applyProtection="1">
      <alignment/>
      <protection hidden="1"/>
    </xf>
    <xf numFmtId="2" fontId="129" fillId="0" borderId="38" xfId="0" applyNumberFormat="1" applyFont="1" applyFill="1" applyBorder="1" applyAlignment="1" applyProtection="1">
      <alignment/>
      <protection hidden="1"/>
    </xf>
    <xf numFmtId="2" fontId="129" fillId="0" borderId="22" xfId="0" applyNumberFormat="1" applyFont="1" applyFill="1" applyBorder="1" applyAlignment="1" applyProtection="1">
      <alignment/>
      <protection hidden="1"/>
    </xf>
    <xf numFmtId="1" fontId="7" fillId="0" borderId="95" xfId="0" applyNumberFormat="1" applyFont="1" applyFill="1" applyBorder="1" applyAlignment="1" applyProtection="1">
      <alignment/>
      <protection locked="0"/>
    </xf>
    <xf numFmtId="1" fontId="7" fillId="0" borderId="96" xfId="0" applyNumberFormat="1" applyFont="1" applyFill="1" applyBorder="1" applyAlignment="1" applyProtection="1">
      <alignment/>
      <protection locked="0"/>
    </xf>
    <xf numFmtId="2" fontId="129" fillId="0" borderId="95" xfId="0" applyNumberFormat="1" applyFont="1" applyFill="1" applyBorder="1" applyAlignment="1" applyProtection="1">
      <alignment/>
      <protection hidden="1"/>
    </xf>
    <xf numFmtId="2" fontId="129" fillId="0" borderId="97" xfId="0" applyNumberFormat="1" applyFont="1" applyFill="1" applyBorder="1" applyAlignment="1" applyProtection="1">
      <alignment/>
      <protection hidden="1"/>
    </xf>
    <xf numFmtId="2" fontId="129" fillId="0" borderId="98" xfId="0" applyNumberFormat="1" applyFont="1" applyFill="1" applyBorder="1" applyAlignment="1" applyProtection="1">
      <alignment/>
      <protection hidden="1"/>
    </xf>
    <xf numFmtId="1" fontId="7" fillId="0" borderId="99" xfId="0" applyNumberFormat="1" applyFont="1" applyFill="1" applyBorder="1" applyAlignment="1" applyProtection="1">
      <alignment/>
      <protection locked="0"/>
    </xf>
    <xf numFmtId="1" fontId="7" fillId="0" borderId="100" xfId="0" applyNumberFormat="1" applyFont="1" applyFill="1" applyBorder="1" applyAlignment="1" applyProtection="1">
      <alignment/>
      <protection locked="0"/>
    </xf>
    <xf numFmtId="2" fontId="129" fillId="0" borderId="99" xfId="0" applyNumberFormat="1" applyFont="1" applyFill="1" applyBorder="1" applyAlignment="1" applyProtection="1">
      <alignment/>
      <protection hidden="1"/>
    </xf>
    <xf numFmtId="2" fontId="129" fillId="0" borderId="101" xfId="0" applyNumberFormat="1" applyFont="1" applyFill="1" applyBorder="1" applyAlignment="1" applyProtection="1">
      <alignment/>
      <protection hidden="1"/>
    </xf>
    <xf numFmtId="2" fontId="129" fillId="0" borderId="102" xfId="0" applyNumberFormat="1" applyFont="1" applyFill="1" applyBorder="1" applyAlignment="1" applyProtection="1">
      <alignment/>
      <protection hidden="1"/>
    </xf>
    <xf numFmtId="2" fontId="23" fillId="0" borderId="95" xfId="0" applyNumberFormat="1" applyFont="1" applyFill="1" applyBorder="1" applyAlignment="1" applyProtection="1">
      <alignment/>
      <protection hidden="1"/>
    </xf>
    <xf numFmtId="2" fontId="23" fillId="0" borderId="97" xfId="0" applyNumberFormat="1" applyFont="1" applyFill="1" applyBorder="1" applyAlignment="1" applyProtection="1">
      <alignment/>
      <protection hidden="1"/>
    </xf>
    <xf numFmtId="2" fontId="23" fillId="0" borderId="98" xfId="0" applyNumberFormat="1" applyFont="1" applyFill="1" applyBorder="1" applyAlignment="1" applyProtection="1">
      <alignment/>
      <protection hidden="1"/>
    </xf>
    <xf numFmtId="2" fontId="6" fillId="0" borderId="96" xfId="0" applyNumberFormat="1" applyFont="1" applyFill="1" applyBorder="1" applyAlignment="1" applyProtection="1">
      <alignment/>
      <protection hidden="1"/>
    </xf>
    <xf numFmtId="2" fontId="23" fillId="0" borderId="99" xfId="0" applyNumberFormat="1" applyFont="1" applyFill="1" applyBorder="1" applyAlignment="1" applyProtection="1">
      <alignment/>
      <protection hidden="1"/>
    </xf>
    <xf numFmtId="2" fontId="23" fillId="0" borderId="101" xfId="0" applyNumberFormat="1" applyFont="1" applyFill="1" applyBorder="1" applyAlignment="1" applyProtection="1">
      <alignment/>
      <protection hidden="1"/>
    </xf>
    <xf numFmtId="2" fontId="23" fillId="0" borderId="102" xfId="0" applyNumberFormat="1" applyFont="1" applyFill="1" applyBorder="1" applyAlignment="1" applyProtection="1">
      <alignment/>
      <protection hidden="1"/>
    </xf>
    <xf numFmtId="2" fontId="6" fillId="0" borderId="100" xfId="0" applyNumberFormat="1" applyFont="1" applyFill="1" applyBorder="1" applyAlignment="1" applyProtection="1">
      <alignment/>
      <protection hidden="1"/>
    </xf>
    <xf numFmtId="1" fontId="7" fillId="0" borderId="103" xfId="0" applyNumberFormat="1" applyFont="1" applyFill="1" applyBorder="1" applyAlignment="1" applyProtection="1">
      <alignment/>
      <protection locked="0"/>
    </xf>
    <xf numFmtId="1" fontId="7" fillId="0" borderId="104" xfId="0" applyNumberFormat="1" applyFont="1" applyFill="1" applyBorder="1" applyAlignment="1" applyProtection="1">
      <alignment/>
      <protection locked="0"/>
    </xf>
    <xf numFmtId="0" fontId="138" fillId="0" borderId="0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 hidden="1"/>
    </xf>
    <xf numFmtId="0" fontId="27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46" fillId="0" borderId="14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 applyProtection="1">
      <alignment horizontal="center"/>
      <protection hidden="1"/>
    </xf>
    <xf numFmtId="2" fontId="3" fillId="0" borderId="15" xfId="0" applyNumberFormat="1" applyFont="1" applyFill="1" applyBorder="1" applyAlignment="1" applyProtection="1">
      <alignment horizontal="center"/>
      <protection hidden="1"/>
    </xf>
    <xf numFmtId="2" fontId="147" fillId="0" borderId="41" xfId="0" applyNumberFormat="1" applyFont="1" applyFill="1" applyBorder="1" applyAlignment="1" applyProtection="1" quotePrefix="1">
      <alignment horizontal="right"/>
      <protection hidden="1"/>
    </xf>
    <xf numFmtId="2" fontId="147" fillId="0" borderId="17" xfId="0" applyNumberFormat="1" applyFont="1" applyFill="1" applyBorder="1" applyAlignment="1" applyProtection="1">
      <alignment/>
      <protection hidden="1"/>
    </xf>
    <xf numFmtId="0" fontId="148" fillId="0" borderId="19" xfId="0" applyFont="1" applyFill="1" applyBorder="1" applyAlignment="1" applyProtection="1">
      <alignment horizontal="center"/>
      <protection hidden="1"/>
    </xf>
    <xf numFmtId="2" fontId="147" fillId="0" borderId="41" xfId="0" applyNumberFormat="1" applyFont="1" applyFill="1" applyBorder="1" applyAlignment="1" applyProtection="1" quotePrefix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14" xfId="0" applyNumberFormat="1" applyFont="1" applyFill="1" applyBorder="1" applyAlignment="1" applyProtection="1">
      <alignment/>
      <protection hidden="1"/>
    </xf>
    <xf numFmtId="0" fontId="36" fillId="0" borderId="12" xfId="0" applyFont="1" applyFill="1" applyBorder="1" applyAlignment="1" applyProtection="1">
      <alignment/>
      <protection locked="0"/>
    </xf>
    <xf numFmtId="1" fontId="48" fillId="0" borderId="0" xfId="0" applyNumberFormat="1" applyFont="1" applyFill="1" applyBorder="1" applyAlignment="1" applyProtection="1" quotePrefix="1">
      <alignment horizontal="center"/>
      <protection locked="0"/>
    </xf>
    <xf numFmtId="1" fontId="48" fillId="0" borderId="14" xfId="0" applyNumberFormat="1" applyFont="1" applyFill="1" applyBorder="1" applyAlignment="1" applyProtection="1" quotePrefix="1">
      <alignment horizontal="center"/>
      <protection locked="0"/>
    </xf>
    <xf numFmtId="2" fontId="4" fillId="0" borderId="14" xfId="0" applyNumberFormat="1" applyFont="1" applyFill="1" applyBorder="1" applyAlignment="1" applyProtection="1" quotePrefix="1">
      <alignment horizontal="center"/>
      <protection hidden="1"/>
    </xf>
    <xf numFmtId="2" fontId="4" fillId="0" borderId="12" xfId="0" applyNumberFormat="1" applyFont="1" applyFill="1" applyBorder="1" applyAlignment="1" applyProtection="1" quotePrefix="1">
      <alignment horizontal="center"/>
      <protection hidden="1"/>
    </xf>
    <xf numFmtId="2" fontId="4" fillId="0" borderId="14" xfId="0" applyNumberFormat="1" applyFont="1" applyBorder="1" applyAlignment="1" applyProtection="1">
      <alignment/>
      <protection hidden="1"/>
    </xf>
    <xf numFmtId="0" fontId="36" fillId="0" borderId="21" xfId="0" applyFont="1" applyFill="1" applyBorder="1" applyAlignment="1" applyProtection="1">
      <alignment/>
      <protection locked="0"/>
    </xf>
    <xf numFmtId="1" fontId="48" fillId="0" borderId="13" xfId="0" applyNumberFormat="1" applyFont="1" applyFill="1" applyBorder="1" applyAlignment="1" applyProtection="1" quotePrefix="1">
      <alignment horizontal="center"/>
      <protection locked="0"/>
    </xf>
    <xf numFmtId="1" fontId="48" fillId="0" borderId="15" xfId="0" applyNumberFormat="1" applyFont="1" applyFill="1" applyBorder="1" applyAlignment="1" applyProtection="1" quotePrefix="1">
      <alignment horizontal="center"/>
      <protection locked="0"/>
    </xf>
    <xf numFmtId="2" fontId="4" fillId="0" borderId="15" xfId="0" applyNumberFormat="1" applyFont="1" applyFill="1" applyBorder="1" applyAlignment="1" applyProtection="1" quotePrefix="1">
      <alignment horizontal="center"/>
      <protection hidden="1"/>
    </xf>
    <xf numFmtId="2" fontId="4" fillId="0" borderId="21" xfId="0" applyNumberFormat="1" applyFont="1" applyFill="1" applyBorder="1" applyAlignment="1" applyProtection="1" quotePrefix="1">
      <alignment horizontal="center"/>
      <protection hidden="1"/>
    </xf>
    <xf numFmtId="2" fontId="4" fillId="0" borderId="21" xfId="0" applyNumberFormat="1" applyFont="1" applyBorder="1" applyAlignment="1" applyProtection="1">
      <alignment/>
      <protection hidden="1"/>
    </xf>
    <xf numFmtId="1" fontId="138" fillId="0" borderId="0" xfId="0" applyNumberFormat="1" applyFont="1" applyAlignment="1" applyProtection="1">
      <alignment horizontal="right"/>
      <protection hidden="1"/>
    </xf>
    <xf numFmtId="0" fontId="147" fillId="0" borderId="0" xfId="0" applyFont="1" applyAlignment="1" applyProtection="1">
      <alignment horizontal="center"/>
      <protection hidden="1"/>
    </xf>
    <xf numFmtId="0" fontId="147" fillId="39" borderId="0" xfId="0" applyFont="1" applyFill="1" applyAlignment="1" applyProtection="1">
      <alignment horizontal="center"/>
      <protection hidden="1"/>
    </xf>
    <xf numFmtId="1" fontId="138" fillId="39" borderId="0" xfId="0" applyNumberFormat="1" applyFont="1" applyFill="1" applyAlignment="1" applyProtection="1">
      <alignment horizontal="right"/>
      <protection locked="0"/>
    </xf>
    <xf numFmtId="0" fontId="138" fillId="39" borderId="14" xfId="0" applyFont="1" applyFill="1" applyBorder="1" applyAlignment="1" applyProtection="1">
      <alignment/>
      <protection locked="0"/>
    </xf>
    <xf numFmtId="0" fontId="3" fillId="39" borderId="14" xfId="0" applyFont="1" applyFill="1" applyBorder="1" applyAlignment="1" applyProtection="1">
      <alignment/>
      <protection hidden="1"/>
    </xf>
    <xf numFmtId="177" fontId="3" fillId="39" borderId="0" xfId="42" applyNumberFormat="1" applyFont="1" applyFill="1" applyAlignment="1" applyProtection="1">
      <alignment/>
      <protection hidden="1"/>
    </xf>
    <xf numFmtId="0" fontId="137" fillId="0" borderId="0" xfId="0" applyFont="1" applyAlignment="1">
      <alignment/>
    </xf>
    <xf numFmtId="0" fontId="137" fillId="0" borderId="0" xfId="0" applyFont="1" applyAlignment="1">
      <alignment horizontal="center"/>
    </xf>
    <xf numFmtId="0" fontId="137" fillId="0" borderId="16" xfId="0" applyFont="1" applyBorder="1" applyAlignment="1">
      <alignment/>
    </xf>
    <xf numFmtId="0" fontId="139" fillId="0" borderId="0" xfId="0" applyFont="1" applyFill="1" applyBorder="1" applyAlignment="1">
      <alignment/>
    </xf>
    <xf numFmtId="0" fontId="138" fillId="0" borderId="12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149" fillId="0" borderId="14" xfId="0" applyFont="1" applyFill="1" applyBorder="1" applyAlignment="1" applyProtection="1" quotePrefix="1">
      <alignment/>
      <protection locked="0"/>
    </xf>
    <xf numFmtId="0" fontId="4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" fontId="138" fillId="0" borderId="17" xfId="0" applyNumberFormat="1" applyFont="1" applyFill="1" applyBorder="1" applyAlignment="1" applyProtection="1">
      <alignment/>
      <protection locked="0"/>
    </xf>
    <xf numFmtId="2" fontId="23" fillId="0" borderId="17" xfId="0" applyNumberFormat="1" applyFont="1" applyFill="1" applyBorder="1" applyAlignment="1" applyProtection="1">
      <alignment horizontal="center"/>
      <protection hidden="1"/>
    </xf>
    <xf numFmtId="2" fontId="23" fillId="0" borderId="17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4" xfId="0" applyNumberFormat="1" applyFont="1" applyBorder="1" applyAlignment="1" applyProtection="1">
      <alignment/>
      <protection/>
    </xf>
    <xf numFmtId="171" fontId="3" fillId="0" borderId="14" xfId="42" applyFont="1" applyBorder="1" applyAlignment="1">
      <alignment/>
    </xf>
    <xf numFmtId="1" fontId="3" fillId="0" borderId="0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3" fillId="0" borderId="12" xfId="0" applyNumberFormat="1" applyFont="1" applyFill="1" applyBorder="1" applyAlignment="1" applyProtection="1">
      <alignment/>
      <protection hidden="1"/>
    </xf>
    <xf numFmtId="0" fontId="150" fillId="0" borderId="105" xfId="0" applyFont="1" applyFill="1" applyBorder="1" applyAlignment="1">
      <alignment horizontal="left"/>
    </xf>
    <xf numFmtId="0" fontId="2" fillId="0" borderId="105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21" xfId="0" applyFont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52" fillId="0" borderId="14" xfId="0" applyFont="1" applyBorder="1" applyAlignment="1" applyProtection="1">
      <alignment horizontal="center"/>
      <protection/>
    </xf>
    <xf numFmtId="0" fontId="138" fillId="0" borderId="14" xfId="0" applyFont="1" applyFill="1" applyBorder="1" applyAlignment="1" applyProtection="1" quotePrefix="1">
      <alignment horizontal="right"/>
      <protection/>
    </xf>
    <xf numFmtId="2" fontId="23" fillId="0" borderId="12" xfId="0" applyNumberFormat="1" applyFont="1" applyFill="1" applyBorder="1" applyAlignment="1" applyProtection="1">
      <alignment horizontal="right"/>
      <protection/>
    </xf>
    <xf numFmtId="0" fontId="151" fillId="0" borderId="14" xfId="0" applyFont="1" applyFill="1" applyBorder="1" applyAlignment="1" applyProtection="1">
      <alignment/>
      <protection locked="0"/>
    </xf>
    <xf numFmtId="0" fontId="138" fillId="4" borderId="20" xfId="0" applyFont="1" applyFill="1" applyBorder="1" applyAlignment="1" applyProtection="1">
      <alignment horizontal="center"/>
      <protection/>
    </xf>
    <xf numFmtId="2" fontId="3" fillId="4" borderId="19" xfId="0" applyNumberFormat="1" applyFont="1" applyFill="1" applyBorder="1" applyAlignment="1" applyProtection="1">
      <alignment horizontal="right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wrapText="1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wrapText="1"/>
      <protection hidden="1"/>
    </xf>
    <xf numFmtId="2" fontId="3" fillId="0" borderId="12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52" fillId="0" borderId="0" xfId="0" applyFont="1" applyAlignment="1">
      <alignment/>
    </xf>
    <xf numFmtId="0" fontId="153" fillId="0" borderId="0" xfId="0" applyFont="1" applyFill="1" applyBorder="1" applyAlignment="1">
      <alignment/>
    </xf>
    <xf numFmtId="0" fontId="145" fillId="0" borderId="14" xfId="0" applyFont="1" applyFill="1" applyBorder="1" applyAlignment="1" applyProtection="1">
      <alignment/>
      <protection locked="0"/>
    </xf>
    <xf numFmtId="0" fontId="153" fillId="0" borderId="22" xfId="0" applyFont="1" applyFill="1" applyBorder="1" applyAlignment="1">
      <alignment/>
    </xf>
    <xf numFmtId="0" fontId="145" fillId="0" borderId="15" xfId="0" applyFont="1" applyFill="1" applyBorder="1" applyAlignment="1" applyProtection="1">
      <alignment/>
      <protection locked="0"/>
    </xf>
    <xf numFmtId="2" fontId="23" fillId="0" borderId="13" xfId="0" applyNumberFormat="1" applyFont="1" applyFill="1" applyBorder="1" applyAlignment="1" applyProtection="1">
      <alignment/>
      <protection hidden="1"/>
    </xf>
    <xf numFmtId="1" fontId="7" fillId="0" borderId="30" xfId="0" applyNumberFormat="1" applyFont="1" applyFill="1" applyBorder="1" applyAlignment="1" applyProtection="1">
      <alignment/>
      <protection locked="0"/>
    </xf>
    <xf numFmtId="0" fontId="138" fillId="0" borderId="21" xfId="0" applyFont="1" applyBorder="1" applyAlignment="1" applyProtection="1">
      <alignment/>
      <protection locked="0"/>
    </xf>
    <xf numFmtId="0" fontId="0" fillId="36" borderId="13" xfId="0" applyFill="1" applyBorder="1" applyAlignment="1">
      <alignment/>
    </xf>
    <xf numFmtId="0" fontId="3" fillId="36" borderId="21" xfId="0" applyFont="1" applyFill="1" applyBorder="1" applyAlignment="1" applyProtection="1">
      <alignment/>
      <protection locked="0"/>
    </xf>
    <xf numFmtId="1" fontId="7" fillId="36" borderId="15" xfId="0" applyNumberFormat="1" applyFont="1" applyFill="1" applyBorder="1" applyAlignment="1" applyProtection="1">
      <alignment/>
      <protection locked="0"/>
    </xf>
    <xf numFmtId="1" fontId="7" fillId="36" borderId="21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/>
      <protection hidden="1"/>
    </xf>
    <xf numFmtId="2" fontId="6" fillId="36" borderId="15" xfId="0" applyNumberFormat="1" applyFont="1" applyFill="1" applyBorder="1" applyAlignment="1" applyProtection="1">
      <alignment/>
      <protection hidden="1"/>
    </xf>
    <xf numFmtId="0" fontId="138" fillId="36" borderId="15" xfId="0" applyFont="1" applyFill="1" applyBorder="1" applyAlignment="1" applyProtection="1">
      <alignment/>
      <protection locked="0"/>
    </xf>
    <xf numFmtId="2" fontId="147" fillId="0" borderId="13" xfId="0" applyNumberFormat="1" applyFont="1" applyFill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2" fontId="6" fillId="0" borderId="17" xfId="0" applyNumberFormat="1" applyFont="1" applyFill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hidden="1"/>
    </xf>
    <xf numFmtId="171" fontId="138" fillId="0" borderId="13" xfId="42" applyFont="1" applyFill="1" applyBorder="1" applyAlignment="1" applyProtection="1" quotePrefix="1">
      <alignment horizontal="right"/>
      <protection hidden="1"/>
    </xf>
    <xf numFmtId="2" fontId="142" fillId="37" borderId="84" xfId="0" applyNumberFormat="1" applyFont="1" applyFill="1" applyBorder="1" applyAlignment="1" applyProtection="1">
      <alignment/>
      <protection hidden="1"/>
    </xf>
    <xf numFmtId="2" fontId="142" fillId="37" borderId="86" xfId="0" applyNumberFormat="1" applyFont="1" applyFill="1" applyBorder="1" applyAlignment="1" applyProtection="1">
      <alignment/>
      <protection hidden="1"/>
    </xf>
    <xf numFmtId="2" fontId="142" fillId="37" borderId="87" xfId="0" applyNumberFormat="1" applyFont="1" applyFill="1" applyBorder="1" applyAlignment="1" applyProtection="1">
      <alignment/>
      <protection hidden="1"/>
    </xf>
    <xf numFmtId="2" fontId="145" fillId="0" borderId="106" xfId="0" applyNumberFormat="1" applyFont="1" applyFill="1" applyBorder="1" applyAlignment="1" applyProtection="1">
      <alignment/>
      <protection hidden="1"/>
    </xf>
    <xf numFmtId="2" fontId="145" fillId="0" borderId="107" xfId="0" applyNumberFormat="1" applyFont="1" applyFill="1" applyBorder="1" applyAlignment="1" applyProtection="1">
      <alignment/>
      <protection hidden="1"/>
    </xf>
    <xf numFmtId="2" fontId="145" fillId="0" borderId="108" xfId="0" applyNumberFormat="1" applyFont="1" applyFill="1" applyBorder="1" applyAlignment="1" applyProtection="1">
      <alignment/>
      <protection hidden="1"/>
    </xf>
    <xf numFmtId="0" fontId="148" fillId="0" borderId="17" xfId="0" applyFont="1" applyFill="1" applyBorder="1" applyAlignment="1" applyProtection="1">
      <alignment horizontal="center"/>
      <protection hidden="1"/>
    </xf>
    <xf numFmtId="2" fontId="147" fillId="0" borderId="17" xfId="0" applyNumberFormat="1" applyFont="1" applyFill="1" applyBorder="1" applyAlignment="1" applyProtection="1" quotePrefix="1">
      <alignment horizontal="right"/>
      <protection hidden="1"/>
    </xf>
    <xf numFmtId="2" fontId="154" fillId="0" borderId="15" xfId="0" applyNumberFormat="1" applyFont="1" applyFill="1" applyBorder="1" applyAlignment="1" applyProtection="1">
      <alignment/>
      <protection hidden="1"/>
    </xf>
    <xf numFmtId="0" fontId="154" fillId="0" borderId="21" xfId="0" applyFont="1" applyFill="1" applyBorder="1" applyAlignment="1" applyProtection="1">
      <alignment/>
      <protection locked="0"/>
    </xf>
    <xf numFmtId="2" fontId="23" fillId="0" borderId="103" xfId="0" applyNumberFormat="1" applyFont="1" applyFill="1" applyBorder="1" applyAlignment="1" applyProtection="1">
      <alignment/>
      <protection hidden="1"/>
    </xf>
    <xf numFmtId="2" fontId="23" fillId="0" borderId="109" xfId="0" applyNumberFormat="1" applyFont="1" applyFill="1" applyBorder="1" applyAlignment="1" applyProtection="1">
      <alignment/>
      <protection hidden="1"/>
    </xf>
    <xf numFmtId="2" fontId="23" fillId="0" borderId="110" xfId="0" applyNumberFormat="1" applyFont="1" applyFill="1" applyBorder="1" applyAlignment="1" applyProtection="1">
      <alignment/>
      <protection hidden="1"/>
    </xf>
    <xf numFmtId="2" fontId="6" fillId="0" borderId="104" xfId="0" applyNumberFormat="1" applyFont="1" applyFill="1" applyBorder="1" applyAlignment="1" applyProtection="1">
      <alignment/>
      <protection hidden="1"/>
    </xf>
    <xf numFmtId="0" fontId="2" fillId="0" borderId="111" xfId="0" applyFont="1" applyFill="1" applyBorder="1" applyAlignment="1" applyProtection="1">
      <alignment/>
      <protection hidden="1"/>
    </xf>
    <xf numFmtId="1" fontId="138" fillId="0" borderId="35" xfId="0" applyNumberFormat="1" applyFont="1" applyFill="1" applyBorder="1" applyAlignment="1" applyProtection="1">
      <alignment/>
      <protection locked="0"/>
    </xf>
    <xf numFmtId="1" fontId="138" fillId="0" borderId="30" xfId="0" applyNumberFormat="1" applyFont="1" applyFill="1" applyBorder="1" applyAlignment="1" applyProtection="1">
      <alignment/>
      <protection locked="0"/>
    </xf>
    <xf numFmtId="2" fontId="23" fillId="0" borderId="54" xfId="0" applyNumberFormat="1" applyFont="1" applyFill="1" applyBorder="1" applyAlignment="1" applyProtection="1">
      <alignment/>
      <protection hidden="1"/>
    </xf>
    <xf numFmtId="2" fontId="6" fillId="0" borderId="39" xfId="0" applyNumberFormat="1" applyFont="1" applyFill="1" applyBorder="1" applyAlignment="1" applyProtection="1">
      <alignment/>
      <protection hidden="1"/>
    </xf>
    <xf numFmtId="2" fontId="23" fillId="0" borderId="112" xfId="0" applyNumberFormat="1" applyFont="1" applyFill="1" applyBorder="1" applyAlignment="1" applyProtection="1">
      <alignment/>
      <protection hidden="1"/>
    </xf>
    <xf numFmtId="1" fontId="23" fillId="0" borderId="113" xfId="0" applyNumberFormat="1" applyFont="1" applyFill="1" applyBorder="1" applyAlignment="1" applyProtection="1">
      <alignment/>
      <protection locked="0"/>
    </xf>
    <xf numFmtId="1" fontId="23" fillId="0" borderId="114" xfId="0" applyNumberFormat="1" applyFont="1" applyFill="1" applyBorder="1" applyAlignment="1" applyProtection="1">
      <alignment/>
      <protection locked="0"/>
    </xf>
    <xf numFmtId="171" fontId="138" fillId="0" borderId="17" xfId="42" applyNumberFormat="1" applyFont="1" applyFill="1" applyBorder="1" applyAlignment="1" applyProtection="1" quotePrefix="1">
      <alignment horizontal="right"/>
      <protection/>
    </xf>
    <xf numFmtId="2" fontId="138" fillId="0" borderId="17" xfId="0" applyNumberFormat="1" applyFont="1" applyFill="1" applyBorder="1" applyAlignment="1" applyProtection="1" quotePrefix="1">
      <alignment horizontal="left"/>
      <protection/>
    </xf>
    <xf numFmtId="2" fontId="3" fillId="0" borderId="17" xfId="0" applyNumberFormat="1" applyFont="1" applyFill="1" applyBorder="1" applyAlignment="1" applyProtection="1" quotePrefix="1">
      <alignment horizontal="right"/>
      <protection/>
    </xf>
    <xf numFmtId="43" fontId="136" fillId="0" borderId="13" xfId="0" applyNumberFormat="1" applyFont="1" applyFill="1" applyBorder="1" applyAlignment="1" applyProtection="1">
      <alignment horizontal="left"/>
      <protection/>
    </xf>
    <xf numFmtId="2" fontId="136" fillId="7" borderId="17" xfId="0" applyNumberFormat="1" applyFont="1" applyFill="1" applyBorder="1" applyAlignment="1" applyProtection="1" quotePrefix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/>
      <protection/>
    </xf>
    <xf numFmtId="2" fontId="155" fillId="2" borderId="17" xfId="0" applyNumberFormat="1" applyFont="1" applyFill="1" applyBorder="1" applyAlignment="1" applyProtection="1">
      <alignment/>
      <protection hidden="1"/>
    </xf>
    <xf numFmtId="2" fontId="136" fillId="40" borderId="13" xfId="0" applyNumberFormat="1" applyFont="1" applyFill="1" applyBorder="1" applyAlignment="1" applyProtection="1">
      <alignment/>
      <protection hidden="1"/>
    </xf>
    <xf numFmtId="2" fontId="15" fillId="37" borderId="19" xfId="0" applyNumberFormat="1" applyFont="1" applyFill="1" applyBorder="1" applyAlignment="1" applyProtection="1">
      <alignment/>
      <protection hidden="1"/>
    </xf>
    <xf numFmtId="43" fontId="138" fillId="3" borderId="0" xfId="0" applyNumberFormat="1" applyFont="1" applyFill="1" applyBorder="1" applyAlignment="1">
      <alignment/>
    </xf>
    <xf numFmtId="2" fontId="156" fillId="41" borderId="19" xfId="0" applyNumberFormat="1" applyFont="1" applyFill="1" applyBorder="1" applyAlignment="1" applyProtection="1">
      <alignment/>
      <protection hidden="1"/>
    </xf>
    <xf numFmtId="0" fontId="136" fillId="0" borderId="10" xfId="0" applyFont="1" applyFill="1" applyBorder="1" applyAlignment="1">
      <alignment horizontal="center"/>
    </xf>
    <xf numFmtId="171" fontId="138" fillId="0" borderId="10" xfId="42" applyFont="1" applyFill="1" applyBorder="1" applyAlignment="1" applyProtection="1" quotePrefix="1">
      <alignment horizontal="right"/>
      <protection hidden="1"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0" fontId="157" fillId="0" borderId="116" xfId="0" applyFont="1" applyBorder="1" applyAlignment="1">
      <alignment/>
    </xf>
    <xf numFmtId="43" fontId="158" fillId="0" borderId="116" xfId="0" applyNumberFormat="1" applyFont="1" applyBorder="1" applyAlignment="1">
      <alignment/>
    </xf>
    <xf numFmtId="0" fontId="3" fillId="32" borderId="17" xfId="0" applyFont="1" applyFill="1" applyBorder="1" applyAlignment="1">
      <alignment/>
    </xf>
    <xf numFmtId="0" fontId="2" fillId="32" borderId="20" xfId="0" applyFont="1" applyFill="1" applyBorder="1" applyAlignment="1" applyProtection="1">
      <alignment horizontal="center"/>
      <protection locked="0"/>
    </xf>
    <xf numFmtId="1" fontId="7" fillId="32" borderId="17" xfId="0" applyNumberFormat="1" applyFont="1" applyFill="1" applyBorder="1" applyAlignment="1" applyProtection="1">
      <alignment/>
      <protection locked="0"/>
    </xf>
    <xf numFmtId="2" fontId="3" fillId="32" borderId="17" xfId="0" applyNumberFormat="1" applyFont="1" applyFill="1" applyBorder="1" applyAlignment="1" applyProtection="1" quotePrefix="1">
      <alignment horizontal="center"/>
      <protection hidden="1"/>
    </xf>
    <xf numFmtId="2" fontId="3" fillId="32" borderId="26" xfId="0" applyNumberFormat="1" applyFont="1" applyFill="1" applyBorder="1" applyAlignment="1" applyProtection="1" quotePrefix="1">
      <alignment horizontal="center"/>
      <protection hidden="1"/>
    </xf>
    <xf numFmtId="2" fontId="3" fillId="32" borderId="19" xfId="0" applyNumberFormat="1" applyFont="1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locked="0"/>
    </xf>
    <xf numFmtId="0" fontId="136" fillId="0" borderId="14" xfId="0" applyFont="1" applyBorder="1" applyAlignment="1">
      <alignment/>
    </xf>
    <xf numFmtId="0" fontId="146" fillId="0" borderId="14" xfId="0" applyFont="1" applyBorder="1" applyAlignment="1" applyProtection="1">
      <alignment/>
      <protection locked="0"/>
    </xf>
    <xf numFmtId="0" fontId="30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40" fillId="37" borderId="14" xfId="0" applyFont="1" applyFill="1" applyBorder="1" applyAlignment="1" applyProtection="1">
      <alignment/>
      <protection/>
    </xf>
    <xf numFmtId="0" fontId="138" fillId="0" borderId="14" xfId="0" applyFont="1" applyBorder="1" applyAlignment="1" applyProtection="1">
      <alignment/>
      <protection/>
    </xf>
    <xf numFmtId="0" fontId="140" fillId="37" borderId="21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42" fillId="37" borderId="14" xfId="0" applyFont="1" applyFill="1" applyBorder="1" applyAlignment="1" applyProtection="1">
      <alignment/>
      <protection/>
    </xf>
    <xf numFmtId="1" fontId="3" fillId="0" borderId="28" xfId="0" applyNumberFormat="1" applyFont="1" applyFill="1" applyBorder="1" applyAlignment="1" applyProtection="1" quotePrefix="1">
      <alignment/>
      <protection/>
    </xf>
    <xf numFmtId="0" fontId="8" fillId="0" borderId="14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 quotePrefix="1">
      <alignment horizontal="left"/>
      <protection/>
    </xf>
    <xf numFmtId="0" fontId="132" fillId="0" borderId="12" xfId="0" applyFont="1" applyFill="1" applyBorder="1" applyAlignment="1" applyProtection="1" quotePrefix="1">
      <alignment horizontal="center"/>
      <protection locked="0"/>
    </xf>
    <xf numFmtId="0" fontId="132" fillId="0" borderId="21" xfId="0" applyFont="1" applyFill="1" applyBorder="1" applyAlignment="1" applyProtection="1" quotePrefix="1">
      <alignment horizontal="center"/>
      <protection/>
    </xf>
    <xf numFmtId="0" fontId="14" fillId="0" borderId="13" xfId="0" applyFont="1" applyFill="1" applyBorder="1" applyAlignment="1" applyProtection="1" quotePrefix="1">
      <alignment horizontal="center"/>
      <protection/>
    </xf>
    <xf numFmtId="2" fontId="3" fillId="0" borderId="13" xfId="0" applyNumberFormat="1" applyFont="1" applyBorder="1" applyAlignment="1" applyProtection="1" quotePrefix="1">
      <alignment horizontal="right"/>
      <protection/>
    </xf>
    <xf numFmtId="0" fontId="3" fillId="0" borderId="21" xfId="0" applyFont="1" applyFill="1" applyBorder="1" applyAlignment="1" applyProtection="1" quotePrefix="1">
      <alignment horizontal="left"/>
      <protection locked="0"/>
    </xf>
    <xf numFmtId="0" fontId="159" fillId="0" borderId="0" xfId="0" applyFont="1" applyFill="1" applyAlignment="1">
      <alignment horizontal="center"/>
    </xf>
    <xf numFmtId="1" fontId="159" fillId="0" borderId="12" xfId="0" applyNumberFormat="1" applyFont="1" applyFill="1" applyBorder="1" applyAlignment="1" applyProtection="1">
      <alignment/>
      <protection hidden="1"/>
    </xf>
    <xf numFmtId="1" fontId="159" fillId="0" borderId="28" xfId="0" applyNumberFormat="1" applyFont="1" applyFill="1" applyBorder="1" applyAlignment="1" applyProtection="1" quotePrefix="1">
      <alignment horizontal="center"/>
      <protection hidden="1"/>
    </xf>
    <xf numFmtId="1" fontId="139" fillId="0" borderId="12" xfId="0" applyNumberFormat="1" applyFont="1" applyFill="1" applyBorder="1" applyAlignment="1" applyProtection="1">
      <alignment horizontal="right"/>
      <protection hidden="1"/>
    </xf>
    <xf numFmtId="1" fontId="139" fillId="0" borderId="12" xfId="0" applyNumberFormat="1" applyFont="1" applyFill="1" applyBorder="1" applyAlignment="1" applyProtection="1">
      <alignment/>
      <protection hidden="1"/>
    </xf>
    <xf numFmtId="0" fontId="3" fillId="0" borderId="65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118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77" fontId="3" fillId="0" borderId="0" xfId="42" applyNumberFormat="1" applyFont="1" applyBorder="1" applyAlignment="1" applyProtection="1">
      <alignment/>
      <protection hidden="1"/>
    </xf>
    <xf numFmtId="177" fontId="3" fillId="0" borderId="21" xfId="42" applyNumberFormat="1" applyFont="1" applyBorder="1" applyAlignment="1" applyProtection="1">
      <alignment horizontal="center"/>
      <protection hidden="1"/>
    </xf>
    <xf numFmtId="0" fontId="159" fillId="0" borderId="17" xfId="0" applyFont="1" applyBorder="1" applyAlignment="1">
      <alignment/>
    </xf>
    <xf numFmtId="0" fontId="138" fillId="0" borderId="14" xfId="0" applyFont="1" applyBorder="1" applyAlignment="1" applyProtection="1">
      <alignment/>
      <protection hidden="1"/>
    </xf>
    <xf numFmtId="0" fontId="138" fillId="0" borderId="16" xfId="0" applyFont="1" applyBorder="1" applyAlignment="1">
      <alignment/>
    </xf>
    <xf numFmtId="0" fontId="138" fillId="0" borderId="0" xfId="0" applyFont="1" applyAlignment="1">
      <alignment/>
    </xf>
    <xf numFmtId="177" fontId="159" fillId="0" borderId="119" xfId="42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39" fillId="0" borderId="13" xfId="0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3" fillId="0" borderId="12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3" fillId="0" borderId="13" xfId="0" applyNumberFormat="1" applyFont="1" applyBorder="1" applyAlignment="1" applyProtection="1">
      <alignment horizontal="right"/>
      <protection/>
    </xf>
    <xf numFmtId="171" fontId="3" fillId="0" borderId="121" xfId="42" applyFont="1" applyFill="1" applyBorder="1" applyAlignment="1" applyProtection="1">
      <alignment horizontal="left"/>
      <protection hidden="1"/>
    </xf>
    <xf numFmtId="2" fontId="3" fillId="0" borderId="65" xfId="0" applyNumberFormat="1" applyFont="1" applyFill="1" applyBorder="1" applyAlignment="1" applyProtection="1">
      <alignment horizontal="right"/>
      <protection hidden="1"/>
    </xf>
    <xf numFmtId="2" fontId="3" fillId="0" borderId="16" xfId="0" applyNumberFormat="1" applyFont="1" applyBorder="1" applyAlignment="1" applyProtection="1">
      <alignment/>
      <protection hidden="1"/>
    </xf>
    <xf numFmtId="2" fontId="3" fillId="0" borderId="22" xfId="0" applyNumberFormat="1" applyFont="1" applyBorder="1" applyAlignment="1" applyProtection="1">
      <alignment/>
      <protection hidden="1"/>
    </xf>
    <xf numFmtId="2" fontId="160" fillId="32" borderId="122" xfId="0" applyNumberFormat="1" applyFont="1" applyFill="1" applyBorder="1" applyAlignment="1" applyProtection="1">
      <alignment/>
      <protection/>
    </xf>
    <xf numFmtId="2" fontId="3" fillId="0" borderId="63" xfId="0" applyNumberFormat="1" applyFont="1" applyFill="1" applyBorder="1" applyAlignment="1" applyProtection="1">
      <alignment horizontal="center"/>
      <protection hidden="1"/>
    </xf>
    <xf numFmtId="2" fontId="2" fillId="0" borderId="21" xfId="0" applyNumberFormat="1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2" fontId="3" fillId="0" borderId="12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3" fillId="0" borderId="17" xfId="0" applyFont="1" applyFill="1" applyBorder="1" applyAlignment="1" applyProtection="1" quotePrefix="1">
      <alignment horizontal="center"/>
      <protection/>
    </xf>
    <xf numFmtId="0" fontId="161" fillId="0" borderId="17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17" fontId="138" fillId="0" borderId="0" xfId="0" applyNumberFormat="1" applyFont="1" applyBorder="1" applyAlignment="1" applyProtection="1" quotePrefix="1">
      <alignment/>
      <protection hidden="1" locked="0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162" fillId="0" borderId="20" xfId="0" applyFont="1" applyBorder="1" applyAlignment="1">
      <alignment horizontal="center"/>
    </xf>
    <xf numFmtId="0" fontId="162" fillId="0" borderId="17" xfId="0" applyFont="1" applyBorder="1" applyAlignment="1">
      <alignment horizontal="center"/>
    </xf>
    <xf numFmtId="0" fontId="162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3" fillId="11" borderId="56" xfId="0" applyFont="1" applyFill="1" applyBorder="1" applyAlignment="1">
      <alignment horizontal="center"/>
    </xf>
    <xf numFmtId="0" fontId="162" fillId="0" borderId="123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178" fontId="0" fillId="39" borderId="124" xfId="42" applyNumberFormat="1" applyFont="1" applyFill="1" applyBorder="1" applyAlignment="1" applyProtection="1">
      <alignment horizontal="center"/>
      <protection/>
    </xf>
    <xf numFmtId="178" fontId="0" fillId="39" borderId="125" xfId="42" applyNumberFormat="1" applyFont="1" applyFill="1" applyBorder="1" applyAlignment="1" applyProtection="1">
      <alignment horizontal="center"/>
      <protection/>
    </xf>
    <xf numFmtId="178" fontId="0" fillId="39" borderId="126" xfId="42" applyNumberFormat="1" applyFont="1" applyFill="1" applyBorder="1" applyAlignment="1" applyProtection="1">
      <alignment horizontal="center"/>
      <protection/>
    </xf>
    <xf numFmtId="178" fontId="0" fillId="7" borderId="127" xfId="42" applyNumberFormat="1" applyFont="1" applyFill="1" applyBorder="1" applyAlignment="1" applyProtection="1">
      <alignment horizontal="center"/>
      <protection/>
    </xf>
    <xf numFmtId="178" fontId="0" fillId="7" borderId="125" xfId="42" applyNumberFormat="1" applyFont="1" applyFill="1" applyBorder="1" applyAlignment="1" applyProtection="1">
      <alignment horizontal="center"/>
      <protection/>
    </xf>
    <xf numFmtId="178" fontId="0" fillId="7" borderId="126" xfId="42" applyNumberFormat="1" applyFont="1" applyFill="1" applyBorder="1" applyAlignment="1" applyProtection="1">
      <alignment horizontal="center"/>
      <protection/>
    </xf>
    <xf numFmtId="178" fontId="0" fillId="2" borderId="128" xfId="42" applyNumberFormat="1" applyFont="1" applyFill="1" applyBorder="1" applyAlignment="1" applyProtection="1">
      <alignment horizontal="center"/>
      <protection/>
    </xf>
    <xf numFmtId="171" fontId="0" fillId="39" borderId="129" xfId="42" applyFont="1" applyFill="1" applyBorder="1" applyAlignment="1">
      <alignment horizontal="center"/>
    </xf>
    <xf numFmtId="0" fontId="0" fillId="0" borderId="130" xfId="0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164" fillId="0" borderId="0" xfId="0" applyFont="1" applyFill="1" applyBorder="1" applyAlignment="1">
      <alignment horizontal="center"/>
    </xf>
    <xf numFmtId="0" fontId="164" fillId="0" borderId="0" xfId="0" applyFont="1" applyFill="1" applyBorder="1" applyAlignment="1" quotePrefix="1">
      <alignment horizontal="center"/>
    </xf>
    <xf numFmtId="0" fontId="59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3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/>
      <protection hidden="1"/>
    </xf>
    <xf numFmtId="0" fontId="60" fillId="0" borderId="17" xfId="0" applyFont="1" applyBorder="1" applyAlignment="1" applyProtection="1">
      <alignment horizontal="center"/>
      <protection hidden="1"/>
    </xf>
    <xf numFmtId="0" fontId="165" fillId="0" borderId="0" xfId="0" applyFont="1" applyFill="1" applyBorder="1" applyAlignment="1">
      <alignment horizontal="left"/>
    </xf>
    <xf numFmtId="0" fontId="59" fillId="0" borderId="2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21" xfId="0" applyFont="1" applyBorder="1" applyAlignment="1">
      <alignment/>
    </xf>
    <xf numFmtId="9" fontId="59" fillId="0" borderId="15" xfId="0" applyNumberFormat="1" applyFont="1" applyBorder="1" applyAlignment="1">
      <alignment horizontal="center"/>
    </xf>
    <xf numFmtId="0" fontId="166" fillId="0" borderId="13" xfId="0" applyFont="1" applyBorder="1" applyAlignment="1" applyProtection="1" quotePrefix="1">
      <alignment horizontal="center"/>
      <protection hidden="1"/>
    </xf>
    <xf numFmtId="0" fontId="167" fillId="0" borderId="21" xfId="0" applyFont="1" applyBorder="1" applyAlignment="1" applyProtection="1">
      <alignment horizontal="center"/>
      <protection hidden="1"/>
    </xf>
    <xf numFmtId="9" fontId="167" fillId="0" borderId="19" xfId="0" applyNumberFormat="1" applyFont="1" applyBorder="1" applyAlignment="1" applyProtection="1">
      <alignment horizontal="center"/>
      <protection hidden="1"/>
    </xf>
    <xf numFmtId="1" fontId="167" fillId="0" borderId="14" xfId="0" applyNumberFormat="1" applyFont="1" applyBorder="1" applyAlignment="1" applyProtection="1">
      <alignment horizontal="center"/>
      <protection hidden="1"/>
    </xf>
    <xf numFmtId="0" fontId="168" fillId="0" borderId="17" xfId="0" applyFont="1" applyBorder="1" applyAlignment="1" applyProtection="1">
      <alignment horizontal="center"/>
      <protection hidden="1"/>
    </xf>
    <xf numFmtId="0" fontId="169" fillId="0" borderId="15" xfId="0" applyFont="1" applyBorder="1" applyAlignment="1" applyProtection="1">
      <alignment horizontal="center"/>
      <protection hidden="1"/>
    </xf>
    <xf numFmtId="0" fontId="169" fillId="0" borderId="15" xfId="0" applyFont="1" applyBorder="1" applyAlignment="1" applyProtection="1" quotePrefix="1">
      <alignment horizontal="center"/>
      <protection hidden="1"/>
    </xf>
    <xf numFmtId="1" fontId="169" fillId="0" borderId="14" xfId="0" applyNumberFormat="1" applyFont="1" applyBorder="1" applyAlignment="1" applyProtection="1">
      <alignment horizontal="center"/>
      <protection hidden="1"/>
    </xf>
    <xf numFmtId="0" fontId="170" fillId="0" borderId="19" xfId="0" applyFont="1" applyBorder="1" applyAlignment="1" applyProtection="1">
      <alignment horizontal="center"/>
      <protection hidden="1"/>
    </xf>
    <xf numFmtId="2" fontId="171" fillId="0" borderId="11" xfId="0" applyNumberFormat="1" applyFont="1" applyBorder="1" applyAlignment="1" applyProtection="1">
      <alignment horizontal="center"/>
      <protection hidden="1"/>
    </xf>
    <xf numFmtId="2" fontId="171" fillId="0" borderId="12" xfId="0" applyNumberFormat="1" applyFont="1" applyBorder="1" applyAlignment="1" applyProtection="1">
      <alignment horizontal="center"/>
      <protection hidden="1"/>
    </xf>
    <xf numFmtId="2" fontId="171" fillId="0" borderId="21" xfId="0" applyNumberFormat="1" applyFont="1" applyBorder="1" applyAlignment="1" applyProtection="1">
      <alignment horizontal="center"/>
      <protection hidden="1"/>
    </xf>
    <xf numFmtId="2" fontId="171" fillId="0" borderId="15" xfId="0" applyNumberFormat="1" applyFont="1" applyBorder="1" applyAlignment="1" applyProtection="1">
      <alignment horizontal="center"/>
      <protection hidden="1"/>
    </xf>
    <xf numFmtId="2" fontId="172" fillId="0" borderId="0" xfId="0" applyNumberFormat="1" applyFont="1" applyBorder="1" applyAlignment="1" applyProtection="1">
      <alignment horizontal="center"/>
      <protection hidden="1"/>
    </xf>
    <xf numFmtId="2" fontId="172" fillId="0" borderId="20" xfId="0" applyNumberFormat="1" applyFont="1" applyBorder="1" applyAlignment="1" applyProtection="1">
      <alignment horizontal="center"/>
      <protection hidden="1"/>
    </xf>
    <xf numFmtId="17" fontId="136" fillId="0" borderId="0" xfId="0" applyNumberFormat="1" applyFont="1" applyAlignment="1" applyProtection="1" quotePrefix="1">
      <alignment/>
      <protection locked="0"/>
    </xf>
    <xf numFmtId="0" fontId="60" fillId="0" borderId="0" xfId="0" applyFont="1" applyAlignment="1">
      <alignment horizontal="center"/>
    </xf>
    <xf numFmtId="0" fontId="3" fillId="0" borderId="14" xfId="0" applyFont="1" applyFill="1" applyBorder="1" applyAlignment="1" applyProtection="1" quotePrefix="1">
      <alignment horizontal="left"/>
      <protection locked="0"/>
    </xf>
    <xf numFmtId="0" fontId="136" fillId="0" borderId="15" xfId="0" applyFont="1" applyFill="1" applyBorder="1" applyAlignment="1" applyProtection="1">
      <alignment horizontal="right"/>
      <protection locked="0"/>
    </xf>
    <xf numFmtId="177" fontId="173" fillId="0" borderId="131" xfId="0" applyNumberFormat="1" applyFont="1" applyFill="1" applyBorder="1" applyAlignment="1" applyProtection="1">
      <alignment horizontal="center"/>
      <protection/>
    </xf>
    <xf numFmtId="2" fontId="159" fillId="0" borderId="132" xfId="0" applyNumberFormat="1" applyFont="1" applyBorder="1" applyAlignment="1" applyProtection="1">
      <alignment/>
      <protection locked="0"/>
    </xf>
    <xf numFmtId="2" fontId="141" fillId="0" borderId="133" xfId="0" applyNumberFormat="1" applyFont="1" applyBorder="1" applyAlignment="1" applyProtection="1">
      <alignment/>
      <protection/>
    </xf>
    <xf numFmtId="2" fontId="3" fillId="0" borderId="134" xfId="0" applyNumberFormat="1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151" fillId="0" borderId="0" xfId="0" applyFont="1" applyFill="1" applyBorder="1" applyAlignment="1" applyProtection="1">
      <alignment/>
      <protection locked="0"/>
    </xf>
    <xf numFmtId="0" fontId="146" fillId="0" borderId="0" xfId="0" applyFont="1" applyFill="1" applyBorder="1" applyAlignment="1" applyProtection="1">
      <alignment/>
      <protection locked="0"/>
    </xf>
    <xf numFmtId="0" fontId="27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138" fillId="0" borderId="12" xfId="0" applyFont="1" applyFill="1" applyBorder="1" applyAlignment="1" applyProtection="1" quotePrefix="1">
      <alignment horizontal="right"/>
      <protection locked="0"/>
    </xf>
    <xf numFmtId="177" fontId="150" fillId="0" borderId="135" xfId="42" applyNumberFormat="1" applyFont="1" applyBorder="1" applyAlignment="1" applyProtection="1">
      <alignment/>
      <protection/>
    </xf>
    <xf numFmtId="2" fontId="129" fillId="0" borderId="135" xfId="0" applyNumberFormat="1" applyFont="1" applyFill="1" applyBorder="1" applyAlignment="1" applyProtection="1">
      <alignment horizontal="right"/>
      <protection hidden="1"/>
    </xf>
    <xf numFmtId="2" fontId="173" fillId="0" borderId="133" xfId="0" applyNumberFormat="1" applyFont="1" applyFill="1" applyBorder="1" applyAlignment="1">
      <alignment horizontal="center"/>
    </xf>
    <xf numFmtId="2" fontId="174" fillId="0" borderId="17" xfId="0" applyNumberFormat="1" applyFont="1" applyFill="1" applyBorder="1" applyAlignment="1">
      <alignment horizontal="center"/>
    </xf>
    <xf numFmtId="0" fontId="3" fillId="0" borderId="71" xfId="0" applyFont="1" applyFill="1" applyBorder="1" applyAlignment="1">
      <alignment/>
    </xf>
    <xf numFmtId="0" fontId="3" fillId="0" borderId="16" xfId="0" applyFont="1" applyFill="1" applyBorder="1" applyAlignment="1" applyProtection="1">
      <alignment/>
      <protection locked="0"/>
    </xf>
    <xf numFmtId="0" fontId="3" fillId="0" borderId="136" xfId="0" applyFont="1" applyFill="1" applyBorder="1" applyAlignment="1" applyProtection="1">
      <alignment/>
      <protection locked="0"/>
    </xf>
    <xf numFmtId="2" fontId="141" fillId="0" borderId="131" xfId="0" applyNumberFormat="1" applyFont="1" applyFill="1" applyBorder="1" applyAlignment="1" applyProtection="1">
      <alignment horizontal="right"/>
      <protection/>
    </xf>
    <xf numFmtId="2" fontId="139" fillId="0" borderId="135" xfId="0" applyNumberFormat="1" applyFont="1" applyFill="1" applyBorder="1" applyAlignment="1" applyProtection="1">
      <alignment horizontal="right"/>
      <protection/>
    </xf>
    <xf numFmtId="2" fontId="139" fillId="0" borderId="137" xfId="0" applyNumberFormat="1" applyFont="1" applyFill="1" applyBorder="1" applyAlignment="1" applyProtection="1">
      <alignment horizontal="right"/>
      <protection locked="0"/>
    </xf>
    <xf numFmtId="2" fontId="150" fillId="0" borderId="138" xfId="0" applyNumberFormat="1" applyFont="1" applyFill="1" applyBorder="1" applyAlignment="1" applyProtection="1">
      <alignment horizontal="right"/>
      <protection hidden="1"/>
    </xf>
    <xf numFmtId="2" fontId="173" fillId="0" borderId="133" xfId="0" applyNumberFormat="1" applyFont="1" applyFill="1" applyBorder="1" applyAlignment="1" applyProtection="1">
      <alignment horizontal="center"/>
      <protection locked="0"/>
    </xf>
    <xf numFmtId="0" fontId="157" fillId="0" borderId="17" xfId="0" applyFont="1" applyFill="1" applyBorder="1" applyAlignment="1" applyProtection="1">
      <alignment horizontal="right"/>
      <protection locked="0"/>
    </xf>
    <xf numFmtId="0" fontId="175" fillId="0" borderId="15" xfId="0" applyFont="1" applyFill="1" applyBorder="1" applyAlignment="1">
      <alignment horizontal="right"/>
    </xf>
    <xf numFmtId="0" fontId="17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77" fillId="0" borderId="0" xfId="0" applyFont="1" applyAlignment="1">
      <alignment horizontal="center"/>
    </xf>
    <xf numFmtId="0" fontId="178" fillId="0" borderId="0" xfId="0" applyFont="1" applyAlignment="1">
      <alignment horizontal="center"/>
    </xf>
    <xf numFmtId="0" fontId="3" fillId="0" borderId="14" xfId="0" applyFont="1" applyFill="1" applyBorder="1" applyAlignment="1">
      <alignment/>
    </xf>
    <xf numFmtId="2" fontId="157" fillId="0" borderId="135" xfId="0" applyNumberFormat="1" applyFont="1" applyFill="1" applyBorder="1" applyAlignment="1" applyProtection="1">
      <alignment horizontal="right"/>
      <protection hidden="1"/>
    </xf>
    <xf numFmtId="0" fontId="27" fillId="0" borderId="14" xfId="0" applyFont="1" applyFill="1" applyBorder="1" applyAlignment="1" applyProtection="1">
      <alignment wrapText="1"/>
      <protection locked="0"/>
    </xf>
    <xf numFmtId="0" fontId="179" fillId="0" borderId="15" xfId="0" applyFont="1" applyBorder="1" applyAlignment="1">
      <alignment/>
    </xf>
    <xf numFmtId="0" fontId="3" fillId="0" borderId="139" xfId="0" applyFont="1" applyFill="1" applyBorder="1" applyAlignment="1">
      <alignment/>
    </xf>
    <xf numFmtId="0" fontId="27" fillId="0" borderId="16" xfId="0" applyFont="1" applyFill="1" applyBorder="1" applyAlignment="1" applyProtection="1">
      <alignment wrapText="1"/>
      <protection locked="0"/>
    </xf>
    <xf numFmtId="0" fontId="179" fillId="0" borderId="16" xfId="0" applyFont="1" applyBorder="1" applyAlignment="1">
      <alignment/>
    </xf>
    <xf numFmtId="2" fontId="3" fillId="0" borderId="140" xfId="0" applyNumberFormat="1" applyFont="1" applyFill="1" applyBorder="1" applyAlignment="1" applyProtection="1">
      <alignment horizontal="right"/>
      <protection hidden="1"/>
    </xf>
    <xf numFmtId="2" fontId="3" fillId="0" borderId="141" xfId="0" applyNumberFormat="1" applyFont="1" applyFill="1" applyBorder="1" applyAlignment="1" applyProtection="1" quotePrefix="1">
      <alignment horizontal="right"/>
      <protection hidden="1"/>
    </xf>
    <xf numFmtId="0" fontId="3" fillId="0" borderId="16" xfId="0" applyFont="1" applyFill="1" applyBorder="1" applyAlignment="1" applyProtection="1">
      <alignment/>
      <protection/>
    </xf>
    <xf numFmtId="0" fontId="175" fillId="0" borderId="20" xfId="0" applyFont="1" applyFill="1" applyBorder="1" applyAlignment="1" applyProtection="1">
      <alignment horizontal="right"/>
      <protection/>
    </xf>
    <xf numFmtId="2" fontId="173" fillId="0" borderId="131" xfId="0" applyNumberFormat="1" applyFont="1" applyFill="1" applyBorder="1" applyAlignment="1" applyProtection="1">
      <alignment horizontal="center"/>
      <protection/>
    </xf>
    <xf numFmtId="2" fontId="174" fillId="0" borderId="17" xfId="0" applyNumberFormat="1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7" fontId="26" fillId="0" borderId="13" xfId="0" applyNumberFormat="1" applyFont="1" applyFill="1" applyBorder="1" applyAlignment="1" applyProtection="1">
      <alignment horizontal="left"/>
      <protection/>
    </xf>
    <xf numFmtId="17" fontId="138" fillId="0" borderId="17" xfId="0" applyNumberFormat="1" applyFont="1" applyBorder="1" applyAlignment="1" applyProtection="1" quotePrefix="1">
      <alignment/>
      <protection/>
    </xf>
    <xf numFmtId="2" fontId="5" fillId="0" borderId="13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180" fillId="0" borderId="142" xfId="0" applyFont="1" applyFill="1" applyBorder="1" applyAlignment="1" applyProtection="1">
      <alignment horizontal="left"/>
      <protection hidden="1"/>
    </xf>
    <xf numFmtId="0" fontId="180" fillId="0" borderId="143" xfId="0" applyFont="1" applyFill="1" applyBorder="1" applyAlignment="1" applyProtection="1">
      <alignment horizontal="left"/>
      <protection hidden="1"/>
    </xf>
    <xf numFmtId="0" fontId="3" fillId="0" borderId="143" xfId="0" applyFont="1" applyFill="1" applyBorder="1" applyAlignment="1" applyProtection="1">
      <alignment horizontal="center"/>
      <protection hidden="1"/>
    </xf>
    <xf numFmtId="0" fontId="2" fillId="0" borderId="14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144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144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145" xfId="0" applyFont="1" applyFill="1" applyBorder="1" applyAlignment="1" applyProtection="1">
      <alignment horizontal="left"/>
      <protection hidden="1"/>
    </xf>
    <xf numFmtId="0" fontId="2" fillId="0" borderId="146" xfId="0" applyFont="1" applyFill="1" applyBorder="1" applyAlignment="1" applyProtection="1">
      <alignment horizontal="left"/>
      <protection hidden="1"/>
    </xf>
    <xf numFmtId="0" fontId="3" fillId="0" borderId="146" xfId="0" applyFont="1" applyFill="1" applyBorder="1" applyAlignment="1" applyProtection="1">
      <alignment horizontal="center"/>
      <protection hidden="1"/>
    </xf>
    <xf numFmtId="2" fontId="142" fillId="0" borderId="15" xfId="0" applyNumberFormat="1" applyFont="1" applyFill="1" applyBorder="1" applyAlignment="1" applyProtection="1">
      <alignment/>
      <protection hidden="1"/>
    </xf>
    <xf numFmtId="2" fontId="142" fillId="0" borderId="38" xfId="0" applyNumberFormat="1" applyFont="1" applyFill="1" applyBorder="1" applyAlignment="1" applyProtection="1">
      <alignment/>
      <protection hidden="1"/>
    </xf>
    <xf numFmtId="2" fontId="142" fillId="0" borderId="22" xfId="0" applyNumberFormat="1" applyFont="1" applyFill="1" applyBorder="1" applyAlignment="1" applyProtection="1">
      <alignment/>
      <protection hidden="1"/>
    </xf>
    <xf numFmtId="0" fontId="128" fillId="0" borderId="11" xfId="0" applyFont="1" applyFill="1" applyBorder="1" applyAlignment="1" quotePrefix="1">
      <alignment horizontal="center"/>
    </xf>
    <xf numFmtId="0" fontId="128" fillId="0" borderId="0" xfId="0" applyFont="1" applyFill="1" applyBorder="1" applyAlignment="1" applyProtection="1" quotePrefix="1">
      <alignment horizontal="center"/>
      <protection hidden="1"/>
    </xf>
    <xf numFmtId="0" fontId="128" fillId="0" borderId="18" xfId="0" applyFont="1" applyFill="1" applyBorder="1" applyAlignment="1" applyProtection="1" quotePrefix="1">
      <alignment horizontal="center"/>
      <protection hidden="1"/>
    </xf>
    <xf numFmtId="0" fontId="128" fillId="0" borderId="11" xfId="0" applyFont="1" applyFill="1" applyBorder="1" applyAlignment="1" applyProtection="1" quotePrefix="1">
      <alignment horizontal="center"/>
      <protection hidden="1"/>
    </xf>
    <xf numFmtId="0" fontId="0" fillId="0" borderId="0" xfId="0" applyFont="1" applyAlignment="1" applyProtection="1">
      <alignment horizontal="left"/>
      <protection locked="0"/>
    </xf>
    <xf numFmtId="0" fontId="181" fillId="7" borderId="12" xfId="0" applyFont="1" applyFill="1" applyBorder="1" applyAlignment="1" applyProtection="1">
      <alignment horizontal="center"/>
      <protection locked="0"/>
    </xf>
    <xf numFmtId="0" fontId="181" fillId="7" borderId="21" xfId="0" applyFont="1" applyFill="1" applyBorder="1" applyAlignment="1" applyProtection="1">
      <alignment horizontal="center"/>
      <protection locked="0"/>
    </xf>
    <xf numFmtId="0" fontId="59" fillId="0" borderId="113" xfId="0" applyFont="1" applyBorder="1" applyAlignment="1" applyProtection="1">
      <alignment horizontal="center"/>
      <protection locked="0"/>
    </xf>
    <xf numFmtId="0" fontId="27" fillId="0" borderId="13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3" fillId="0" borderId="22" xfId="0" applyNumberFormat="1" applyFont="1" applyFill="1" applyBorder="1" applyAlignment="1" applyProtection="1" quotePrefix="1">
      <alignment horizontal="center"/>
      <protection hidden="1"/>
    </xf>
    <xf numFmtId="0" fontId="2" fillId="0" borderId="17" xfId="0" applyFont="1" applyFill="1" applyBorder="1" applyAlignment="1">
      <alignment horizontal="center"/>
    </xf>
    <xf numFmtId="0" fontId="17" fillId="0" borderId="20" xfId="0" applyFont="1" applyFill="1" applyBorder="1" applyAlignment="1" applyProtection="1">
      <alignment horizontal="right"/>
      <protection hidden="1"/>
    </xf>
    <xf numFmtId="17" fontId="17" fillId="0" borderId="17" xfId="0" applyNumberFormat="1" applyFont="1" applyFill="1" applyBorder="1" applyAlignment="1" applyProtection="1">
      <alignment horizontal="left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2" fontId="18" fillId="0" borderId="26" xfId="0" applyNumberFormat="1" applyFont="1" applyFill="1" applyBorder="1" applyAlignment="1" applyProtection="1">
      <alignment horizontal="center"/>
      <protection hidden="1"/>
    </xf>
    <xf numFmtId="171" fontId="3" fillId="0" borderId="14" xfId="42" applyFont="1" applyFill="1" applyBorder="1" applyAlignment="1">
      <alignment/>
    </xf>
    <xf numFmtId="0" fontId="6" fillId="36" borderId="21" xfId="0" applyFont="1" applyFill="1" applyBorder="1" applyAlignment="1" applyProtection="1">
      <alignment/>
      <protection locked="0"/>
    </xf>
    <xf numFmtId="1" fontId="138" fillId="36" borderId="15" xfId="0" applyNumberFormat="1" applyFont="1" applyFill="1" applyBorder="1" applyAlignment="1" applyProtection="1">
      <alignment/>
      <protection locked="0"/>
    </xf>
    <xf numFmtId="1" fontId="138" fillId="36" borderId="13" xfId="0" applyNumberFormat="1" applyFont="1" applyFill="1" applyBorder="1" applyAlignment="1" applyProtection="1">
      <alignment/>
      <protection locked="0"/>
    </xf>
    <xf numFmtId="2" fontId="23" fillId="36" borderId="13" xfId="0" applyNumberFormat="1" applyFont="1" applyFill="1" applyBorder="1" applyAlignment="1" applyProtection="1">
      <alignment horizontal="center"/>
      <protection hidden="1"/>
    </xf>
    <xf numFmtId="0" fontId="7" fillId="36" borderId="21" xfId="0" applyFont="1" applyFill="1" applyBorder="1" applyAlignment="1" applyProtection="1">
      <alignment/>
      <protection locked="0"/>
    </xf>
    <xf numFmtId="2" fontId="2" fillId="0" borderId="147" xfId="0" applyNumberFormat="1" applyFont="1" applyFill="1" applyBorder="1" applyAlignment="1" applyProtection="1">
      <alignment horizontal="center"/>
      <protection/>
    </xf>
    <xf numFmtId="2" fontId="2" fillId="0" borderId="148" xfId="0" applyNumberFormat="1" applyFont="1" applyFill="1" applyBorder="1" applyAlignment="1" applyProtection="1">
      <alignment horizontal="center"/>
      <protection/>
    </xf>
    <xf numFmtId="2" fontId="2" fillId="0" borderId="149" xfId="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/>
    </xf>
    <xf numFmtId="2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7" fillId="0" borderId="150" xfId="0" applyFont="1" applyFill="1" applyBorder="1" applyAlignment="1" applyProtection="1">
      <alignment horizontal="center"/>
      <protection hidden="1"/>
    </xf>
    <xf numFmtId="0" fontId="7" fillId="0" borderId="151" xfId="0" applyFont="1" applyFill="1" applyBorder="1" applyAlignment="1" applyProtection="1">
      <alignment horizontal="center"/>
      <protection hidden="1"/>
    </xf>
    <xf numFmtId="2" fontId="27" fillId="0" borderId="150" xfId="0" applyNumberFormat="1" applyFont="1" applyFill="1" applyBorder="1" applyAlignment="1" applyProtection="1">
      <alignment horizontal="center"/>
      <protection hidden="1"/>
    </xf>
    <xf numFmtId="2" fontId="27" fillId="0" borderId="130" xfId="0" applyNumberFormat="1" applyFont="1" applyFill="1" applyBorder="1" applyAlignment="1" applyProtection="1">
      <alignment horizontal="center"/>
      <protection hidden="1"/>
    </xf>
    <xf numFmtId="2" fontId="27" fillId="0" borderId="151" xfId="0" applyNumberFormat="1" applyFont="1" applyFill="1" applyBorder="1" applyAlignment="1" applyProtection="1">
      <alignment horizontal="center"/>
      <protection hidden="1"/>
    </xf>
    <xf numFmtId="0" fontId="26" fillId="0" borderId="150" xfId="0" applyFont="1" applyFill="1" applyBorder="1" applyAlignment="1" applyProtection="1">
      <alignment horizontal="center"/>
      <protection hidden="1"/>
    </xf>
    <xf numFmtId="0" fontId="26" fillId="0" borderId="151" xfId="0" applyFont="1" applyFill="1" applyBorder="1" applyAlignment="1" applyProtection="1">
      <alignment horizontal="center"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152" xfId="0" applyFont="1" applyBorder="1" applyAlignment="1" applyProtection="1">
      <alignment horizontal="center"/>
      <protection hidden="1"/>
    </xf>
    <xf numFmtId="0" fontId="3" fillId="0" borderId="15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center"/>
      <protection hidden="1"/>
    </xf>
    <xf numFmtId="0" fontId="165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46" fillId="2" borderId="15" xfId="0" applyFont="1" applyFill="1" applyBorder="1" applyAlignment="1">
      <alignment horizontal="center"/>
    </xf>
    <xf numFmtId="0" fontId="46" fillId="2" borderId="13" xfId="0" applyFont="1" applyFill="1" applyBorder="1" applyAlignment="1">
      <alignment horizontal="center"/>
    </xf>
    <xf numFmtId="0" fontId="46" fillId="2" borderId="22" xfId="0" applyFont="1" applyFill="1" applyBorder="1" applyAlignment="1">
      <alignment horizontal="center"/>
    </xf>
    <xf numFmtId="0" fontId="60" fillId="0" borderId="0" xfId="0" applyFont="1" applyBorder="1" applyAlignment="1" applyProtection="1">
      <alignment horizontal="center" wrapText="1"/>
      <protection locked="0"/>
    </xf>
    <xf numFmtId="0" fontId="128" fillId="0" borderId="18" xfId="0" applyFont="1" applyFill="1" applyBorder="1" applyAlignment="1">
      <alignment horizontal="center"/>
    </xf>
    <xf numFmtId="0" fontId="128" fillId="0" borderId="10" xfId="0" applyFont="1" applyFill="1" applyBorder="1" applyAlignment="1">
      <alignment horizontal="center"/>
    </xf>
    <xf numFmtId="0" fontId="182" fillId="0" borderId="154" xfId="0" applyFont="1" applyBorder="1" applyAlignment="1" applyProtection="1">
      <alignment horizontal="left"/>
      <protection locked="0"/>
    </xf>
    <xf numFmtId="0" fontId="163" fillId="0" borderId="130" xfId="0" applyFont="1" applyBorder="1" applyAlignment="1" applyProtection="1">
      <alignment horizontal="left"/>
      <protection locked="0"/>
    </xf>
    <xf numFmtId="0" fontId="163" fillId="0" borderId="155" xfId="0" applyFont="1" applyBorder="1" applyAlignment="1" applyProtection="1">
      <alignment horizontal="left"/>
      <protection locked="0"/>
    </xf>
    <xf numFmtId="0" fontId="163" fillId="39" borderId="156" xfId="0" applyFont="1" applyFill="1" applyBorder="1" applyAlignment="1">
      <alignment horizontal="center"/>
    </xf>
    <xf numFmtId="0" fontId="163" fillId="39" borderId="13" xfId="0" applyFont="1" applyFill="1" applyBorder="1" applyAlignment="1">
      <alignment horizontal="center"/>
    </xf>
    <xf numFmtId="0" fontId="163" fillId="39" borderId="22" xfId="0" applyFont="1" applyFill="1" applyBorder="1" applyAlignment="1">
      <alignment horizontal="center"/>
    </xf>
    <xf numFmtId="0" fontId="163" fillId="7" borderId="15" xfId="0" applyFont="1" applyFill="1" applyBorder="1" applyAlignment="1">
      <alignment horizontal="center"/>
    </xf>
    <xf numFmtId="0" fontId="163" fillId="7" borderId="13" xfId="0" applyFont="1" applyFill="1" applyBorder="1" applyAlignment="1">
      <alignment horizontal="center"/>
    </xf>
    <xf numFmtId="0" fontId="163" fillId="7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46</xdr:row>
      <xdr:rowOff>114300</xdr:rowOff>
    </xdr:from>
    <xdr:to>
      <xdr:col>5</xdr:col>
      <xdr:colOff>9525</xdr:colOff>
      <xdr:row>47</xdr:row>
      <xdr:rowOff>66675</xdr:rowOff>
    </xdr:to>
    <xdr:sp>
      <xdr:nvSpPr>
        <xdr:cNvPr id="1" name="Straight Arrow Connector 2"/>
        <xdr:cNvSpPr>
          <a:spLocks/>
        </xdr:cNvSpPr>
      </xdr:nvSpPr>
      <xdr:spPr>
        <a:xfrm flipV="1">
          <a:off x="2143125" y="10267950"/>
          <a:ext cx="13335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1914525</xdr:colOff>
      <xdr:row>47</xdr:row>
      <xdr:rowOff>9525</xdr:rowOff>
    </xdr:from>
    <xdr:to>
      <xdr:col>6</xdr:col>
      <xdr:colOff>123825</xdr:colOff>
      <xdr:row>48</xdr:row>
      <xdr:rowOff>85725</xdr:rowOff>
    </xdr:to>
    <xdr:sp>
      <xdr:nvSpPr>
        <xdr:cNvPr id="2" name="Straight Arrow Connector 4"/>
        <xdr:cNvSpPr>
          <a:spLocks/>
        </xdr:cNvSpPr>
      </xdr:nvSpPr>
      <xdr:spPr>
        <a:xfrm flipV="1">
          <a:off x="2162175" y="10401300"/>
          <a:ext cx="1819275" cy="276225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200025</xdr:rowOff>
    </xdr:from>
    <xdr:to>
      <xdr:col>3</xdr:col>
      <xdr:colOff>495300</xdr:colOff>
      <xdr:row>20</xdr:row>
      <xdr:rowOff>85725</xdr:rowOff>
    </xdr:to>
    <xdr:sp>
      <xdr:nvSpPr>
        <xdr:cNvPr id="1" name="Straight Arrow Connector 2"/>
        <xdr:cNvSpPr>
          <a:spLocks/>
        </xdr:cNvSpPr>
      </xdr:nvSpPr>
      <xdr:spPr>
        <a:xfrm flipV="1">
          <a:off x="2247900" y="3438525"/>
          <a:ext cx="295275" cy="26003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57150</xdr:rowOff>
    </xdr:from>
    <xdr:to>
      <xdr:col>7</xdr:col>
      <xdr:colOff>600075</xdr:colOff>
      <xdr:row>20</xdr:row>
      <xdr:rowOff>85725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3124200" y="5734050"/>
          <a:ext cx="2076450" cy="3048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tabSelected="1" view="pageBreakPreview" zoomScale="140" zoomScaleSheetLayoutView="140" zoomScalePageLayoutView="0" workbookViewId="0" topLeftCell="A1">
      <selection activeCell="B3" sqref="B3"/>
    </sheetView>
  </sheetViews>
  <sheetFormatPr defaultColWidth="9.140625" defaultRowHeight="21.75"/>
  <cols>
    <col min="1" max="1" width="3.7109375" style="1" customWidth="1"/>
    <col min="2" max="2" width="30.7109375" style="1" customWidth="1"/>
    <col min="3" max="3" width="6.140625" style="1" customWidth="1"/>
    <col min="4" max="4" width="5.421875" style="1" customWidth="1"/>
    <col min="5" max="5" width="6.00390625" style="1" customWidth="1"/>
    <col min="6" max="6" width="5.8515625" style="13" customWidth="1"/>
    <col min="7" max="7" width="7.140625" style="13" customWidth="1"/>
    <col min="8" max="8" width="5.421875" style="1" customWidth="1"/>
    <col min="9" max="9" width="32.8515625" style="1" customWidth="1"/>
    <col min="10" max="10" width="10.00390625" style="112" hidden="1" customWidth="1"/>
    <col min="11" max="16384" width="9.140625" style="1" customWidth="1"/>
  </cols>
  <sheetData>
    <row r="1" spans="1:9" ht="21.75" customHeight="1">
      <c r="A1" s="207" t="s">
        <v>322</v>
      </c>
      <c r="B1" s="207"/>
      <c r="C1" s="207"/>
      <c r="D1" s="207"/>
      <c r="E1" s="207"/>
      <c r="F1" s="207"/>
      <c r="G1" s="207"/>
      <c r="H1" s="653" t="s">
        <v>284</v>
      </c>
      <c r="I1" s="1" t="s">
        <v>283</v>
      </c>
    </row>
    <row r="2" spans="1:9" ht="19.5" customHeight="1">
      <c r="A2" s="937" t="s">
        <v>388</v>
      </c>
      <c r="B2" s="937"/>
      <c r="C2" s="937"/>
      <c r="D2" s="937"/>
      <c r="E2" s="937"/>
      <c r="F2" s="937"/>
      <c r="G2" s="937"/>
      <c r="H2" s="465"/>
      <c r="I2" s="840" t="s">
        <v>377</v>
      </c>
    </row>
    <row r="3" spans="1:7" ht="21.75" customHeight="1">
      <c r="A3" s="71" t="s">
        <v>150</v>
      </c>
      <c r="B3" s="433" t="s">
        <v>356</v>
      </c>
      <c r="E3" s="149" t="s">
        <v>173</v>
      </c>
      <c r="F3" s="515" t="s">
        <v>357</v>
      </c>
      <c r="G3" s="577"/>
    </row>
    <row r="4" spans="1:10" ht="16.5" customHeight="1">
      <c r="A4" s="158" t="s">
        <v>417</v>
      </c>
      <c r="B4" s="6"/>
      <c r="C4" s="6"/>
      <c r="D4" s="6"/>
      <c r="E4" s="6"/>
      <c r="F4" s="6"/>
      <c r="G4" s="6"/>
      <c r="H4" s="6"/>
      <c r="I4" s="159"/>
      <c r="J4" s="113"/>
    </row>
    <row r="5" spans="1:10" ht="18" customHeight="1">
      <c r="A5" s="28"/>
      <c r="B5" s="29" t="s">
        <v>0</v>
      </c>
      <c r="C5" s="30" t="s">
        <v>11</v>
      </c>
      <c r="D5" s="21" t="s">
        <v>33</v>
      </c>
      <c r="E5" s="938" t="s">
        <v>5</v>
      </c>
      <c r="F5" s="938"/>
      <c r="G5" s="938"/>
      <c r="H5" s="42" t="s">
        <v>3</v>
      </c>
      <c r="I5" s="46" t="s">
        <v>4</v>
      </c>
      <c r="J5" s="114"/>
    </row>
    <row r="6" spans="1:10" ht="18" customHeight="1">
      <c r="A6" s="28"/>
      <c r="B6" s="33"/>
      <c r="C6" s="34" t="s">
        <v>13</v>
      </c>
      <c r="D6" s="34" t="s">
        <v>7</v>
      </c>
      <c r="E6" s="35" t="s">
        <v>6</v>
      </c>
      <c r="F6" s="27" t="s">
        <v>7</v>
      </c>
      <c r="G6" s="31" t="s">
        <v>8</v>
      </c>
      <c r="H6" s="18"/>
      <c r="I6" s="9"/>
      <c r="J6" s="115"/>
    </row>
    <row r="7" spans="1:10" ht="18" customHeight="1">
      <c r="A7" s="2">
        <v>1</v>
      </c>
      <c r="B7" s="3" t="s">
        <v>1</v>
      </c>
      <c r="C7" s="16"/>
      <c r="D7" s="39"/>
      <c r="E7" s="38"/>
      <c r="F7" s="39"/>
      <c r="G7" s="38"/>
      <c r="H7" s="39"/>
      <c r="I7" s="7"/>
      <c r="J7" s="116"/>
    </row>
    <row r="8" spans="1:10" ht="18" customHeight="1">
      <c r="A8" s="4"/>
      <c r="B8" s="5" t="s">
        <v>363</v>
      </c>
      <c r="C8" s="7"/>
      <c r="D8" s="13"/>
      <c r="E8" s="13"/>
      <c r="F8" s="8"/>
      <c r="H8" s="8"/>
      <c r="I8" s="725"/>
      <c r="J8" s="116"/>
    </row>
    <row r="9" spans="1:10" ht="18" customHeight="1">
      <c r="A9" s="4">
        <v>1.1</v>
      </c>
      <c r="B9" s="5" t="s">
        <v>65</v>
      </c>
      <c r="C9" s="454"/>
      <c r="D9" s="466"/>
      <c r="E9" s="454"/>
      <c r="F9" s="8"/>
      <c r="H9" s="8"/>
      <c r="I9" s="74"/>
      <c r="J9" s="116"/>
    </row>
    <row r="10" spans="1:10" ht="18" customHeight="1">
      <c r="A10" s="4"/>
      <c r="B10" s="5" t="s">
        <v>303</v>
      </c>
      <c r="C10" s="13"/>
      <c r="D10" s="13"/>
      <c r="E10" s="13"/>
      <c r="F10" s="8"/>
      <c r="H10" s="7"/>
      <c r="I10" s="726"/>
      <c r="J10" s="116"/>
    </row>
    <row r="11" spans="1:10" ht="16.5" customHeight="1">
      <c r="A11" s="19"/>
      <c r="B11" s="68" t="s">
        <v>53</v>
      </c>
      <c r="C11" s="539">
        <v>0</v>
      </c>
      <c r="D11" s="540">
        <v>0</v>
      </c>
      <c r="E11" s="163">
        <f>+D11*1/15</f>
        <v>0</v>
      </c>
      <c r="F11" s="166">
        <f>+D11/15</f>
        <v>0</v>
      </c>
      <c r="G11" s="167">
        <f>+(D11/15)*(C11-50)/50+(D11/15)</f>
        <v>0</v>
      </c>
      <c r="H11" s="106">
        <f>+E11+F11+G11</f>
        <v>0</v>
      </c>
      <c r="I11" s="74" t="s">
        <v>270</v>
      </c>
      <c r="J11" s="116"/>
    </row>
    <row r="12" spans="1:10" ht="16.5" customHeight="1">
      <c r="A12" s="19"/>
      <c r="B12" s="68" t="s">
        <v>50</v>
      </c>
      <c r="C12" s="539">
        <v>0</v>
      </c>
      <c r="D12" s="540">
        <v>0</v>
      </c>
      <c r="E12" s="163">
        <f>+D12*1/15</f>
        <v>0</v>
      </c>
      <c r="F12" s="166">
        <f>+D12/15</f>
        <v>0</v>
      </c>
      <c r="G12" s="167">
        <f>+(D12/15)*(C12-50)/50+(D12/15)</f>
        <v>0</v>
      </c>
      <c r="H12" s="106">
        <f>+E12+F12+G12</f>
        <v>0</v>
      </c>
      <c r="I12" s="74"/>
      <c r="J12" s="116"/>
    </row>
    <row r="13" spans="1:10" ht="16.5" customHeight="1">
      <c r="A13" s="19"/>
      <c r="B13" s="69" t="s">
        <v>16</v>
      </c>
      <c r="C13" s="539">
        <v>0</v>
      </c>
      <c r="D13" s="540">
        <v>0</v>
      </c>
      <c r="E13" s="163">
        <f>+D13*1/15</f>
        <v>0</v>
      </c>
      <c r="F13" s="166">
        <f>+D13/15</f>
        <v>0</v>
      </c>
      <c r="G13" s="167">
        <f>+(D13/15)*(C13-50)/50+(D13/15)</f>
        <v>0</v>
      </c>
      <c r="H13" s="106">
        <f>+E13+F13+G13</f>
        <v>0</v>
      </c>
      <c r="I13" s="138"/>
      <c r="J13" s="116"/>
    </row>
    <row r="14" spans="1:10" ht="16.5" customHeight="1">
      <c r="A14" s="19"/>
      <c r="B14" s="69" t="s">
        <v>17</v>
      </c>
      <c r="C14" s="539">
        <v>0</v>
      </c>
      <c r="D14" s="540">
        <v>0</v>
      </c>
      <c r="E14" s="163">
        <f>+D14*1/15</f>
        <v>0</v>
      </c>
      <c r="F14" s="166">
        <f>+D14/15</f>
        <v>0</v>
      </c>
      <c r="G14" s="167">
        <f>+(D14/15)*(C14-50)/50+(D14/15)</f>
        <v>0</v>
      </c>
      <c r="H14" s="106">
        <f>+E14+F14+G14</f>
        <v>0</v>
      </c>
      <c r="I14" s="75"/>
      <c r="J14" s="116"/>
    </row>
    <row r="15" spans="1:10" ht="16.5" customHeight="1">
      <c r="A15" s="19"/>
      <c r="B15" s="69" t="s">
        <v>54</v>
      </c>
      <c r="C15" s="539">
        <v>0</v>
      </c>
      <c r="D15" s="540">
        <v>0</v>
      </c>
      <c r="E15" s="163">
        <f>+D15*1/15</f>
        <v>0</v>
      </c>
      <c r="F15" s="166">
        <f>+D15/15</f>
        <v>0</v>
      </c>
      <c r="G15" s="167">
        <f>+(D15/15)*(C15-50)/50+(D15/15)</f>
        <v>0</v>
      </c>
      <c r="H15" s="106">
        <f>+E15+F15+G15</f>
        <v>0</v>
      </c>
      <c r="I15" s="75"/>
      <c r="J15" s="116"/>
    </row>
    <row r="16" spans="1:10" ht="16.5" customHeight="1">
      <c r="A16" s="19"/>
      <c r="B16" s="69" t="s">
        <v>55</v>
      </c>
      <c r="C16" s="539">
        <v>0</v>
      </c>
      <c r="D16" s="540">
        <v>0</v>
      </c>
      <c r="E16" s="163">
        <f aca="true" t="shared" si="0" ref="E16:E23">+D16*1/15</f>
        <v>0</v>
      </c>
      <c r="F16" s="166">
        <f aca="true" t="shared" si="1" ref="F16:F23">+D16/15</f>
        <v>0</v>
      </c>
      <c r="G16" s="167">
        <f aca="true" t="shared" si="2" ref="G16:G23">+(D16/15)*(C16-50)/50+(D16/15)</f>
        <v>0</v>
      </c>
      <c r="H16" s="106">
        <f aca="true" t="shared" si="3" ref="H16:H23">+E16+F16+G16</f>
        <v>0</v>
      </c>
      <c r="I16" s="75"/>
      <c r="J16" s="116"/>
    </row>
    <row r="17" spans="1:10" ht="16.5" customHeight="1">
      <c r="A17" s="19"/>
      <c r="B17" s="69" t="s">
        <v>251</v>
      </c>
      <c r="C17" s="539">
        <v>0</v>
      </c>
      <c r="D17" s="540">
        <v>0</v>
      </c>
      <c r="E17" s="163">
        <f t="shared" si="0"/>
        <v>0</v>
      </c>
      <c r="F17" s="166">
        <f t="shared" si="1"/>
        <v>0</v>
      </c>
      <c r="G17" s="167">
        <f t="shared" si="2"/>
        <v>0</v>
      </c>
      <c r="H17" s="106">
        <f t="shared" si="3"/>
        <v>0</v>
      </c>
      <c r="I17" s="75"/>
      <c r="J17" s="116"/>
    </row>
    <row r="18" spans="1:10" ht="16.5" customHeight="1">
      <c r="A18" s="19"/>
      <c r="B18" s="69" t="s">
        <v>252</v>
      </c>
      <c r="C18" s="539">
        <v>0</v>
      </c>
      <c r="D18" s="540">
        <v>0</v>
      </c>
      <c r="E18" s="163">
        <f t="shared" si="0"/>
        <v>0</v>
      </c>
      <c r="F18" s="166">
        <f t="shared" si="1"/>
        <v>0</v>
      </c>
      <c r="G18" s="167">
        <f t="shared" si="2"/>
        <v>0</v>
      </c>
      <c r="H18" s="106">
        <f t="shared" si="3"/>
        <v>0</v>
      </c>
      <c r="I18" s="75"/>
      <c r="J18" s="116"/>
    </row>
    <row r="19" spans="1:10" ht="16.5" customHeight="1">
      <c r="A19" s="19"/>
      <c r="B19" s="69" t="s">
        <v>253</v>
      </c>
      <c r="C19" s="539">
        <v>0</v>
      </c>
      <c r="D19" s="540">
        <v>0</v>
      </c>
      <c r="E19" s="163">
        <f t="shared" si="0"/>
        <v>0</v>
      </c>
      <c r="F19" s="166">
        <f t="shared" si="1"/>
        <v>0</v>
      </c>
      <c r="G19" s="167">
        <f t="shared" si="2"/>
        <v>0</v>
      </c>
      <c r="H19" s="106">
        <f t="shared" si="3"/>
        <v>0</v>
      </c>
      <c r="I19" s="75"/>
      <c r="J19" s="116"/>
    </row>
    <row r="20" spans="1:10" ht="16.5" customHeight="1">
      <c r="A20" s="19"/>
      <c r="B20" s="69" t="s">
        <v>254</v>
      </c>
      <c r="C20" s="539">
        <v>0</v>
      </c>
      <c r="D20" s="540">
        <v>0</v>
      </c>
      <c r="E20" s="163">
        <f t="shared" si="0"/>
        <v>0</v>
      </c>
      <c r="F20" s="166">
        <f t="shared" si="1"/>
        <v>0</v>
      </c>
      <c r="G20" s="167">
        <f t="shared" si="2"/>
        <v>0</v>
      </c>
      <c r="H20" s="106">
        <f t="shared" si="3"/>
        <v>0</v>
      </c>
      <c r="I20" s="75"/>
      <c r="J20" s="116"/>
    </row>
    <row r="21" spans="1:10" ht="16.5" customHeight="1">
      <c r="A21" s="19"/>
      <c r="B21" s="69" t="s">
        <v>271</v>
      </c>
      <c r="C21" s="539">
        <v>0</v>
      </c>
      <c r="D21" s="540">
        <v>0</v>
      </c>
      <c r="E21" s="163">
        <f>+D21*1/15</f>
        <v>0</v>
      </c>
      <c r="F21" s="166">
        <f>+D21/15</f>
        <v>0</v>
      </c>
      <c r="G21" s="167">
        <f>+(D21/15)*(C21-50)/50+(D21/15)</f>
        <v>0</v>
      </c>
      <c r="H21" s="106">
        <f>+E21+F21+G21</f>
        <v>0</v>
      </c>
      <c r="I21" s="75"/>
      <c r="J21" s="116"/>
    </row>
    <row r="22" spans="1:10" ht="16.5" customHeight="1">
      <c r="A22" s="19"/>
      <c r="B22" s="69" t="s">
        <v>255</v>
      </c>
      <c r="C22" s="539">
        <v>0</v>
      </c>
      <c r="D22" s="540">
        <v>0</v>
      </c>
      <c r="E22" s="163">
        <f>+D22*1/15</f>
        <v>0</v>
      </c>
      <c r="F22" s="166">
        <f>+D22/15</f>
        <v>0</v>
      </c>
      <c r="G22" s="167">
        <f>+(D22/15)*(C22-50)/50+(D22/15)</f>
        <v>0</v>
      </c>
      <c r="H22" s="106">
        <f>+E22+F22+G22</f>
        <v>0</v>
      </c>
      <c r="I22" s="75"/>
      <c r="J22" s="116"/>
    </row>
    <row r="23" spans="1:10" ht="16.5" customHeight="1">
      <c r="A23" s="19"/>
      <c r="B23" s="69" t="s">
        <v>256</v>
      </c>
      <c r="C23" s="539">
        <v>0</v>
      </c>
      <c r="D23" s="540">
        <v>0</v>
      </c>
      <c r="E23" s="163">
        <f t="shared" si="0"/>
        <v>0</v>
      </c>
      <c r="F23" s="166">
        <f t="shared" si="1"/>
        <v>0</v>
      </c>
      <c r="G23" s="167">
        <f t="shared" si="2"/>
        <v>0</v>
      </c>
      <c r="H23" s="106">
        <f t="shared" si="3"/>
        <v>0</v>
      </c>
      <c r="I23" s="75"/>
      <c r="J23" s="116"/>
    </row>
    <row r="24" spans="1:10" ht="16.5" customHeight="1">
      <c r="A24" s="19"/>
      <c r="B24" s="69" t="s">
        <v>272</v>
      </c>
      <c r="C24" s="539">
        <v>0</v>
      </c>
      <c r="D24" s="540">
        <v>0</v>
      </c>
      <c r="E24" s="163">
        <f>+D24*1/15</f>
        <v>0</v>
      </c>
      <c r="F24" s="166">
        <f>+D24/15</f>
        <v>0</v>
      </c>
      <c r="G24" s="167">
        <f>+(D24/15)*(C24-50)/50+(D24/15)</f>
        <v>0</v>
      </c>
      <c r="H24" s="106">
        <f>+E24+F24+G24</f>
        <v>0</v>
      </c>
      <c r="I24" s="75"/>
      <c r="J24" s="116"/>
    </row>
    <row r="25" spans="1:10" ht="16.5" customHeight="1">
      <c r="A25" s="208"/>
      <c r="B25" s="70" t="s">
        <v>273</v>
      </c>
      <c r="C25" s="541">
        <v>0</v>
      </c>
      <c r="D25" s="542">
        <v>0</v>
      </c>
      <c r="E25" s="170">
        <f>+D25*1/15</f>
        <v>0</v>
      </c>
      <c r="F25" s="448">
        <f>+D25/15</f>
        <v>0</v>
      </c>
      <c r="G25" s="172">
        <f>+(D25/15)*(C25-50)/50+(D25/15)</f>
        <v>0</v>
      </c>
      <c r="H25" s="107">
        <f>+E25+F25+G25</f>
        <v>0</v>
      </c>
      <c r="I25" s="93"/>
      <c r="J25" s="115"/>
    </row>
    <row r="26" spans="1:10" ht="18" customHeight="1">
      <c r="A26" s="19"/>
      <c r="B26" s="21" t="s">
        <v>174</v>
      </c>
      <c r="C26" s="60"/>
      <c r="D26" s="60"/>
      <c r="E26" s="56"/>
      <c r="F26" s="57"/>
      <c r="G26" s="56"/>
      <c r="H26" s="58"/>
      <c r="I26" s="74"/>
      <c r="J26" s="116"/>
    </row>
    <row r="27" spans="1:10" ht="18" customHeight="1">
      <c r="A27" s="19"/>
      <c r="B27" s="21" t="s">
        <v>37</v>
      </c>
      <c r="C27" s="60"/>
      <c r="D27" s="60"/>
      <c r="E27" s="56"/>
      <c r="F27" s="56"/>
      <c r="G27" s="56"/>
      <c r="H27" s="58"/>
      <c r="I27" s="74"/>
      <c r="J27" s="116"/>
    </row>
    <row r="28" spans="1:10" ht="15.75" customHeight="1">
      <c r="A28" s="19"/>
      <c r="B28" s="69" t="s">
        <v>18</v>
      </c>
      <c r="C28" s="544">
        <v>0</v>
      </c>
      <c r="D28" s="545">
        <v>0</v>
      </c>
      <c r="E28" s="163">
        <f aca="true" t="shared" si="4" ref="E28:E43">+D28*1/30</f>
        <v>0</v>
      </c>
      <c r="F28" s="164">
        <f aca="true" t="shared" si="5" ref="F28:F43">+D28*2/30</f>
        <v>0</v>
      </c>
      <c r="G28" s="165">
        <f aca="true" t="shared" si="6" ref="G28:G35">+(D28/30)*1*(C28-25)/25+(D28*1/30)</f>
        <v>0</v>
      </c>
      <c r="H28" s="106">
        <f aca="true" t="shared" si="7" ref="H28:H43">+E28+F28+G28</f>
        <v>0</v>
      </c>
      <c r="I28" s="75"/>
      <c r="J28" s="116"/>
    </row>
    <row r="29" spans="1:10" ht="15.75" customHeight="1">
      <c r="A29" s="19"/>
      <c r="B29" s="69" t="s">
        <v>19</v>
      </c>
      <c r="C29" s="546">
        <v>0</v>
      </c>
      <c r="D29" s="547">
        <v>0</v>
      </c>
      <c r="E29" s="163">
        <f t="shared" si="4"/>
        <v>0</v>
      </c>
      <c r="F29" s="164">
        <f t="shared" si="5"/>
        <v>0</v>
      </c>
      <c r="G29" s="165">
        <f t="shared" si="6"/>
        <v>0</v>
      </c>
      <c r="H29" s="106">
        <f t="shared" si="7"/>
        <v>0</v>
      </c>
      <c r="I29" s="74"/>
      <c r="J29" s="116"/>
    </row>
    <row r="30" spans="1:10" ht="15.75" customHeight="1">
      <c r="A30" s="19"/>
      <c r="B30" s="69" t="s">
        <v>20</v>
      </c>
      <c r="C30" s="546">
        <v>0</v>
      </c>
      <c r="D30" s="547">
        <v>0</v>
      </c>
      <c r="E30" s="163">
        <f t="shared" si="4"/>
        <v>0</v>
      </c>
      <c r="F30" s="164">
        <f t="shared" si="5"/>
        <v>0</v>
      </c>
      <c r="G30" s="165">
        <f t="shared" si="6"/>
        <v>0</v>
      </c>
      <c r="H30" s="106">
        <f t="shared" si="7"/>
        <v>0</v>
      </c>
      <c r="I30" s="74"/>
      <c r="J30" s="116"/>
    </row>
    <row r="31" spans="1:10" ht="18.75" customHeight="1">
      <c r="A31" s="19"/>
      <c r="B31" s="69" t="s">
        <v>21</v>
      </c>
      <c r="C31" s="546">
        <v>0</v>
      </c>
      <c r="D31" s="547">
        <v>0</v>
      </c>
      <c r="E31" s="163">
        <f t="shared" si="4"/>
        <v>0</v>
      </c>
      <c r="F31" s="164">
        <f t="shared" si="5"/>
        <v>0</v>
      </c>
      <c r="G31" s="165">
        <f t="shared" si="6"/>
        <v>0</v>
      </c>
      <c r="H31" s="106">
        <f t="shared" si="7"/>
        <v>0</v>
      </c>
      <c r="I31" s="74"/>
      <c r="J31" s="116"/>
    </row>
    <row r="32" spans="1:10" ht="18.75" customHeight="1">
      <c r="A32" s="19"/>
      <c r="B32" s="69" t="s">
        <v>225</v>
      </c>
      <c r="C32" s="546">
        <v>0</v>
      </c>
      <c r="D32" s="547">
        <v>0</v>
      </c>
      <c r="E32" s="163">
        <f>+D32*1/30</f>
        <v>0</v>
      </c>
      <c r="F32" s="164">
        <f>+D32*2/30</f>
        <v>0</v>
      </c>
      <c r="G32" s="165">
        <f t="shared" si="6"/>
        <v>0</v>
      </c>
      <c r="H32" s="106">
        <f>+E32+F32+G32</f>
        <v>0</v>
      </c>
      <c r="I32" s="74"/>
      <c r="J32" s="116"/>
    </row>
    <row r="33" spans="1:10" ht="18.75" customHeight="1">
      <c r="A33" s="19"/>
      <c r="B33" s="69" t="s">
        <v>257</v>
      </c>
      <c r="C33" s="546">
        <v>0</v>
      </c>
      <c r="D33" s="547">
        <v>0</v>
      </c>
      <c r="E33" s="163">
        <f>+D33*1/30</f>
        <v>0</v>
      </c>
      <c r="F33" s="164">
        <f>+D33*2/30</f>
        <v>0</v>
      </c>
      <c r="G33" s="165">
        <f t="shared" si="6"/>
        <v>0</v>
      </c>
      <c r="H33" s="106">
        <f>+E33+F33+G33</f>
        <v>0</v>
      </c>
      <c r="I33" s="74"/>
      <c r="J33" s="116"/>
    </row>
    <row r="34" spans="1:10" ht="18.75" customHeight="1">
      <c r="A34" s="19"/>
      <c r="B34" s="69" t="s">
        <v>258</v>
      </c>
      <c r="C34" s="546">
        <v>0</v>
      </c>
      <c r="D34" s="547">
        <v>0</v>
      </c>
      <c r="E34" s="163">
        <f>+D34*1/30</f>
        <v>0</v>
      </c>
      <c r="F34" s="164">
        <f>+D34*2/30</f>
        <v>0</v>
      </c>
      <c r="G34" s="165">
        <f t="shared" si="6"/>
        <v>0</v>
      </c>
      <c r="H34" s="106">
        <f>+E34+F34+G34</f>
        <v>0</v>
      </c>
      <c r="I34" s="74"/>
      <c r="J34" s="116"/>
    </row>
    <row r="35" spans="1:10" ht="18.75" customHeight="1">
      <c r="A35" s="19"/>
      <c r="B35" s="70" t="s">
        <v>258</v>
      </c>
      <c r="C35" s="690">
        <v>0</v>
      </c>
      <c r="D35" s="691">
        <v>0</v>
      </c>
      <c r="E35" s="168">
        <f>+D35*1/30</f>
        <v>0</v>
      </c>
      <c r="F35" s="174">
        <f>+D35*2/30</f>
        <v>0</v>
      </c>
      <c r="G35" s="658">
        <f t="shared" si="6"/>
        <v>0</v>
      </c>
      <c r="H35" s="506">
        <f>+E35+F35+G35</f>
        <v>0</v>
      </c>
      <c r="I35" s="210"/>
      <c r="J35" s="116"/>
    </row>
    <row r="36" spans="1:10" ht="18.75" customHeight="1">
      <c r="A36" s="19"/>
      <c r="B36" s="486" t="s">
        <v>259</v>
      </c>
      <c r="C36" s="544">
        <v>0</v>
      </c>
      <c r="D36" s="545">
        <v>0</v>
      </c>
      <c r="E36" s="163">
        <f t="shared" si="4"/>
        <v>0</v>
      </c>
      <c r="F36" s="164">
        <f t="shared" si="5"/>
        <v>0</v>
      </c>
      <c r="G36" s="165">
        <f aca="true" t="shared" si="8" ref="G36:G43">+(D36/30)*1*(C36-12)/12+(D36*1/30)</f>
        <v>0</v>
      </c>
      <c r="H36" s="106">
        <f t="shared" si="7"/>
        <v>0</v>
      </c>
      <c r="I36" s="74"/>
      <c r="J36" s="116"/>
    </row>
    <row r="37" spans="1:10" ht="18.75" customHeight="1">
      <c r="A37" s="19"/>
      <c r="B37" s="486" t="s">
        <v>260</v>
      </c>
      <c r="C37" s="546">
        <v>0</v>
      </c>
      <c r="D37" s="547">
        <v>0</v>
      </c>
      <c r="E37" s="163">
        <f>+D37*1/30</f>
        <v>0</v>
      </c>
      <c r="F37" s="164">
        <f>+D37*2/30</f>
        <v>0</v>
      </c>
      <c r="G37" s="165">
        <f t="shared" si="8"/>
        <v>0</v>
      </c>
      <c r="H37" s="106">
        <f>+E37+F37+G37</f>
        <v>0</v>
      </c>
      <c r="I37" s="74"/>
      <c r="J37" s="116"/>
    </row>
    <row r="38" spans="1:10" ht="18.75" customHeight="1">
      <c r="A38" s="19"/>
      <c r="B38" s="486" t="s">
        <v>261</v>
      </c>
      <c r="C38" s="546">
        <v>0</v>
      </c>
      <c r="D38" s="547">
        <v>0</v>
      </c>
      <c r="E38" s="163">
        <f>+D38*1/30</f>
        <v>0</v>
      </c>
      <c r="F38" s="164">
        <f>+D38*2/30</f>
        <v>0</v>
      </c>
      <c r="G38" s="165">
        <f t="shared" si="8"/>
        <v>0</v>
      </c>
      <c r="H38" s="106">
        <f>+E38+F38+G38</f>
        <v>0</v>
      </c>
      <c r="I38" s="74"/>
      <c r="J38" s="116"/>
    </row>
    <row r="39" spans="1:10" ht="15.75" customHeight="1">
      <c r="A39" s="19"/>
      <c r="B39" s="486" t="s">
        <v>262</v>
      </c>
      <c r="C39" s="546">
        <v>0</v>
      </c>
      <c r="D39" s="547">
        <v>0</v>
      </c>
      <c r="E39" s="163">
        <f>+D39*1/30</f>
        <v>0</v>
      </c>
      <c r="F39" s="164">
        <f>+D39*2/30</f>
        <v>0</v>
      </c>
      <c r="G39" s="165">
        <f t="shared" si="8"/>
        <v>0</v>
      </c>
      <c r="H39" s="106">
        <f>+E39+F39+G39</f>
        <v>0</v>
      </c>
      <c r="I39" s="74"/>
      <c r="J39" s="116"/>
    </row>
    <row r="40" spans="1:10" ht="15.75" customHeight="1">
      <c r="A40" s="19"/>
      <c r="B40" s="486" t="s">
        <v>263</v>
      </c>
      <c r="C40" s="546">
        <v>0</v>
      </c>
      <c r="D40" s="547">
        <v>0</v>
      </c>
      <c r="E40" s="163">
        <f t="shared" si="4"/>
        <v>0</v>
      </c>
      <c r="F40" s="164">
        <f t="shared" si="5"/>
        <v>0</v>
      </c>
      <c r="G40" s="165">
        <f t="shared" si="8"/>
        <v>0</v>
      </c>
      <c r="H40" s="106">
        <f t="shared" si="7"/>
        <v>0</v>
      </c>
      <c r="I40" s="74"/>
      <c r="J40" s="116"/>
    </row>
    <row r="41" spans="1:10" ht="15.75" customHeight="1">
      <c r="A41" s="19"/>
      <c r="B41" s="486" t="s">
        <v>264</v>
      </c>
      <c r="C41" s="546">
        <v>0</v>
      </c>
      <c r="D41" s="547">
        <v>0</v>
      </c>
      <c r="E41" s="163">
        <f t="shared" si="4"/>
        <v>0</v>
      </c>
      <c r="F41" s="164">
        <f t="shared" si="5"/>
        <v>0</v>
      </c>
      <c r="G41" s="165">
        <f t="shared" si="8"/>
        <v>0</v>
      </c>
      <c r="H41" s="106">
        <f t="shared" si="7"/>
        <v>0</v>
      </c>
      <c r="I41" s="74"/>
      <c r="J41" s="116"/>
    </row>
    <row r="42" spans="1:10" ht="15.75" customHeight="1">
      <c r="A42" s="19"/>
      <c r="B42" s="486" t="s">
        <v>265</v>
      </c>
      <c r="C42" s="546">
        <v>0</v>
      </c>
      <c r="D42" s="547">
        <v>0</v>
      </c>
      <c r="E42" s="163">
        <f>+D42*1/30</f>
        <v>0</v>
      </c>
      <c r="F42" s="164">
        <f>+D42*2/30</f>
        <v>0</v>
      </c>
      <c r="G42" s="165">
        <f t="shared" si="8"/>
        <v>0</v>
      </c>
      <c r="H42" s="106">
        <f>+E42+F42+G42</f>
        <v>0</v>
      </c>
      <c r="I42" s="74"/>
      <c r="J42" s="116"/>
    </row>
    <row r="43" spans="1:10" ht="15.75" customHeight="1">
      <c r="A43" s="208"/>
      <c r="B43" s="487" t="s">
        <v>266</v>
      </c>
      <c r="C43" s="543">
        <v>0</v>
      </c>
      <c r="D43" s="468">
        <v>0</v>
      </c>
      <c r="E43" s="170">
        <f t="shared" si="4"/>
        <v>0</v>
      </c>
      <c r="F43" s="171">
        <f t="shared" si="5"/>
        <v>0</v>
      </c>
      <c r="G43" s="488">
        <f t="shared" si="8"/>
        <v>0</v>
      </c>
      <c r="H43" s="107">
        <f t="shared" si="7"/>
        <v>0</v>
      </c>
      <c r="I43" s="210"/>
      <c r="J43" s="115"/>
    </row>
    <row r="44" spans="1:10" ht="21" customHeight="1">
      <c r="A44" s="19"/>
      <c r="B44" s="65" t="s">
        <v>304</v>
      </c>
      <c r="C44" s="66"/>
      <c r="D44" s="67"/>
      <c r="E44" s="53"/>
      <c r="F44" s="55"/>
      <c r="G44" s="54"/>
      <c r="H44" s="106"/>
      <c r="I44" s="74"/>
      <c r="J44" s="116"/>
    </row>
    <row r="45" spans="1:10" ht="15.75" customHeight="1">
      <c r="A45" s="19"/>
      <c r="B45" s="467" t="s">
        <v>175</v>
      </c>
      <c r="C45" s="545">
        <v>0</v>
      </c>
      <c r="D45" s="549">
        <v>0</v>
      </c>
      <c r="E45" s="489">
        <f>+D45*1/15</f>
        <v>0</v>
      </c>
      <c r="F45" s="175">
        <f>+D45/15</f>
        <v>0</v>
      </c>
      <c r="G45" s="176">
        <f>+(D45/15)*(C45-20)/20+(D45/15)</f>
        <v>0</v>
      </c>
      <c r="H45" s="490">
        <f>+E45+F45+G45</f>
        <v>0</v>
      </c>
      <c r="I45" s="216" t="s">
        <v>309</v>
      </c>
      <c r="J45" s="116"/>
    </row>
    <row r="46" spans="1:10" ht="15.75" customHeight="1" thickBot="1">
      <c r="A46" s="19"/>
      <c r="B46" s="467" t="s">
        <v>267</v>
      </c>
      <c r="C46" s="545">
        <v>0</v>
      </c>
      <c r="D46" s="549">
        <v>0</v>
      </c>
      <c r="E46" s="489">
        <f>+D46*1/15</f>
        <v>0</v>
      </c>
      <c r="F46" s="692">
        <f>+D46/15</f>
        <v>0</v>
      </c>
      <c r="G46" s="694">
        <f>+(D46/15)*(C46-20)/20+(D46/15)</f>
        <v>0</v>
      </c>
      <c r="H46" s="490">
        <f>+E46+F46+G46</f>
        <v>0</v>
      </c>
      <c r="I46" s="75"/>
      <c r="J46" s="116"/>
    </row>
    <row r="47" spans="1:10" ht="18.75" customHeight="1" thickBot="1" thickTop="1">
      <c r="A47" s="19"/>
      <c r="B47" s="467" t="s">
        <v>305</v>
      </c>
      <c r="C47" s="545"/>
      <c r="D47" s="549"/>
      <c r="E47" s="489"/>
      <c r="F47" s="695">
        <v>2</v>
      </c>
      <c r="G47" s="696">
        <v>2</v>
      </c>
      <c r="H47" s="693"/>
      <c r="I47" s="216" t="s">
        <v>308</v>
      </c>
      <c r="J47" s="116"/>
    </row>
    <row r="48" spans="1:10" ht="15.75" customHeight="1" thickTop="1">
      <c r="A48" s="19"/>
      <c r="B48" s="68" t="s">
        <v>307</v>
      </c>
      <c r="C48" s="546">
        <v>0</v>
      </c>
      <c r="D48" s="547">
        <v>0</v>
      </c>
      <c r="E48" s="489">
        <f>+D48*1/15</f>
        <v>0</v>
      </c>
      <c r="F48" s="166">
        <f>+D48/15</f>
        <v>0</v>
      </c>
      <c r="G48" s="167">
        <f>+(D48/15)*(C48-50)/50+(D48/15)</f>
        <v>0</v>
      </c>
      <c r="H48" s="147">
        <f>IF(F47&gt;1,(+E48+F48+G48)*2/F47,0)</f>
        <v>0</v>
      </c>
      <c r="I48" s="216"/>
      <c r="J48" s="116"/>
    </row>
    <row r="49" spans="1:10" ht="15.75" customHeight="1">
      <c r="A49" s="20"/>
      <c r="B49" s="94" t="s">
        <v>306</v>
      </c>
      <c r="C49" s="548">
        <v>0</v>
      </c>
      <c r="D49" s="468">
        <v>0</v>
      </c>
      <c r="E49" s="489">
        <f>+D49*1/15</f>
        <v>0</v>
      </c>
      <c r="F49" s="166">
        <f>+D49/15</f>
        <v>0</v>
      </c>
      <c r="G49" s="176">
        <f>+(D49/15)*(C49-50)/50+(D49/15)</f>
        <v>0</v>
      </c>
      <c r="H49" s="147">
        <f>IF(G47&gt;1,(+E49+F49+G49)*2/G47,0)</f>
        <v>0</v>
      </c>
      <c r="I49" s="217"/>
      <c r="J49" s="116"/>
    </row>
    <row r="50" spans="1:10" ht="4.5" customHeight="1">
      <c r="A50" s="22"/>
      <c r="B50" s="670"/>
      <c r="C50" s="620"/>
      <c r="D50" s="620"/>
      <c r="E50" s="621"/>
      <c r="F50" s="622"/>
      <c r="G50" s="622"/>
      <c r="H50" s="671"/>
      <c r="I50" s="672"/>
      <c r="J50" s="492"/>
    </row>
    <row r="51" spans="1:10" s="10" customFormat="1" ht="5.25" customHeight="1">
      <c r="A51" s="661"/>
      <c r="B51" s="929"/>
      <c r="C51" s="930"/>
      <c r="D51" s="931"/>
      <c r="E51" s="932"/>
      <c r="F51" s="665"/>
      <c r="G51" s="665"/>
      <c r="H51" s="666"/>
      <c r="I51" s="933"/>
      <c r="J51" s="928"/>
    </row>
    <row r="52" spans="1:10" ht="15.75" customHeight="1">
      <c r="A52" s="28"/>
      <c r="B52" s="33" t="s">
        <v>0</v>
      </c>
      <c r="C52" s="37" t="s">
        <v>11</v>
      </c>
      <c r="D52" s="21" t="s">
        <v>33</v>
      </c>
      <c r="E52" s="940" t="s">
        <v>5</v>
      </c>
      <c r="F52" s="940"/>
      <c r="G52" s="940"/>
      <c r="H52" s="42" t="s">
        <v>3</v>
      </c>
      <c r="I52" s="46" t="s">
        <v>282</v>
      </c>
      <c r="J52" s="116"/>
    </row>
    <row r="53" spans="1:10" ht="15.75" customHeight="1">
      <c r="A53" s="618"/>
      <c r="B53" s="619"/>
      <c r="C53" s="34" t="s">
        <v>13</v>
      </c>
      <c r="D53" s="34" t="s">
        <v>7</v>
      </c>
      <c r="E53" s="35" t="s">
        <v>6</v>
      </c>
      <c r="F53" s="27" t="s">
        <v>7</v>
      </c>
      <c r="G53" s="31" t="s">
        <v>8</v>
      </c>
      <c r="H53" s="18"/>
      <c r="I53" s="9"/>
      <c r="J53" s="116"/>
    </row>
    <row r="54" spans="1:10" ht="18" customHeight="1">
      <c r="A54" s="19"/>
      <c r="B54" s="21" t="s">
        <v>176</v>
      </c>
      <c r="C54" s="61"/>
      <c r="D54" s="60"/>
      <c r="E54" s="56"/>
      <c r="F54" s="56"/>
      <c r="G54" s="56"/>
      <c r="H54" s="108"/>
      <c r="I54" s="74"/>
      <c r="J54" s="116"/>
    </row>
    <row r="55" spans="1:10" ht="17.25" customHeight="1">
      <c r="A55" s="19"/>
      <c r="B55" s="69" t="s">
        <v>152</v>
      </c>
      <c r="C55" s="544">
        <v>0</v>
      </c>
      <c r="D55" s="545">
        <v>0</v>
      </c>
      <c r="E55" s="163">
        <f aca="true" t="shared" si="9" ref="E55:E61">+D55*2/60</f>
        <v>0</v>
      </c>
      <c r="F55" s="164">
        <f aca="true" t="shared" si="10" ref="F55:F61">+D55*4/60</f>
        <v>0</v>
      </c>
      <c r="G55" s="167">
        <f aca="true" t="shared" si="11" ref="G55:G66">+(D55/60)*3*(C55-8)/8+(D55*3/60)</f>
        <v>0</v>
      </c>
      <c r="H55" s="106">
        <f aca="true" t="shared" si="12" ref="H55:H66">+E55+F55+G55</f>
        <v>0</v>
      </c>
      <c r="I55" s="75"/>
      <c r="J55" s="116"/>
    </row>
    <row r="56" spans="1:10" ht="17.25" customHeight="1">
      <c r="A56" s="19"/>
      <c r="B56" s="69" t="s">
        <v>153</v>
      </c>
      <c r="C56" s="546">
        <v>0</v>
      </c>
      <c r="D56" s="547">
        <v>0</v>
      </c>
      <c r="E56" s="163">
        <f t="shared" si="9"/>
        <v>0</v>
      </c>
      <c r="F56" s="164">
        <f t="shared" si="10"/>
        <v>0</v>
      </c>
      <c r="G56" s="167">
        <f t="shared" si="11"/>
        <v>0</v>
      </c>
      <c r="H56" s="106">
        <f t="shared" si="12"/>
        <v>0</v>
      </c>
      <c r="I56" s="75"/>
      <c r="J56" s="116"/>
    </row>
    <row r="57" spans="1:10" ht="17.25" customHeight="1">
      <c r="A57" s="19"/>
      <c r="B57" s="72" t="s">
        <v>154</v>
      </c>
      <c r="C57" s="546">
        <v>0</v>
      </c>
      <c r="D57" s="547">
        <v>0</v>
      </c>
      <c r="E57" s="163">
        <f t="shared" si="9"/>
        <v>0</v>
      </c>
      <c r="F57" s="164">
        <f t="shared" si="10"/>
        <v>0</v>
      </c>
      <c r="G57" s="167">
        <f t="shared" si="11"/>
        <v>0</v>
      </c>
      <c r="H57" s="106">
        <f t="shared" si="12"/>
        <v>0</v>
      </c>
      <c r="I57" s="74"/>
      <c r="J57" s="116"/>
    </row>
    <row r="58" spans="1:10" ht="17.25" customHeight="1">
      <c r="A58" s="19"/>
      <c r="B58" s="72" t="s">
        <v>38</v>
      </c>
      <c r="C58" s="546">
        <v>0</v>
      </c>
      <c r="D58" s="547">
        <v>0</v>
      </c>
      <c r="E58" s="163">
        <f t="shared" si="9"/>
        <v>0</v>
      </c>
      <c r="F58" s="164">
        <f t="shared" si="10"/>
        <v>0</v>
      </c>
      <c r="G58" s="167">
        <f t="shared" si="11"/>
        <v>0</v>
      </c>
      <c r="H58" s="106">
        <f t="shared" si="12"/>
        <v>0</v>
      </c>
      <c r="I58" s="74"/>
      <c r="J58" s="116"/>
    </row>
    <row r="59" spans="1:10" ht="17.25" customHeight="1">
      <c r="A59" s="19"/>
      <c r="B59" s="72" t="s">
        <v>56</v>
      </c>
      <c r="C59" s="546">
        <v>0</v>
      </c>
      <c r="D59" s="547">
        <v>0</v>
      </c>
      <c r="E59" s="163">
        <f t="shared" si="9"/>
        <v>0</v>
      </c>
      <c r="F59" s="164">
        <f t="shared" si="10"/>
        <v>0</v>
      </c>
      <c r="G59" s="167">
        <f>+(D59/60)*3*(C59-8)/8+(D59*3/60)</f>
        <v>0</v>
      </c>
      <c r="H59" s="106">
        <f>+E59+F59+G59</f>
        <v>0</v>
      </c>
      <c r="I59" s="74"/>
      <c r="J59" s="116"/>
    </row>
    <row r="60" spans="1:10" ht="17.25" customHeight="1">
      <c r="A60" s="19"/>
      <c r="B60" s="72" t="s">
        <v>268</v>
      </c>
      <c r="C60" s="546">
        <v>0</v>
      </c>
      <c r="D60" s="547">
        <v>0</v>
      </c>
      <c r="E60" s="163">
        <f t="shared" si="9"/>
        <v>0</v>
      </c>
      <c r="F60" s="164">
        <f t="shared" si="10"/>
        <v>0</v>
      </c>
      <c r="G60" s="167">
        <f>+(D60/60)*3*(C60-8)/8+(D60*3/60)</f>
        <v>0</v>
      </c>
      <c r="H60" s="106">
        <f>+E60+F60+G60</f>
        <v>0</v>
      </c>
      <c r="I60" s="74"/>
      <c r="J60" s="116"/>
    </row>
    <row r="61" spans="1:10" ht="17.25" customHeight="1">
      <c r="A61" s="19"/>
      <c r="B61" s="72" t="s">
        <v>269</v>
      </c>
      <c r="C61" s="546">
        <v>0</v>
      </c>
      <c r="D61" s="547">
        <v>0</v>
      </c>
      <c r="E61" s="163">
        <f t="shared" si="9"/>
        <v>0</v>
      </c>
      <c r="F61" s="164">
        <f t="shared" si="10"/>
        <v>0</v>
      </c>
      <c r="G61" s="167">
        <f t="shared" si="11"/>
        <v>0</v>
      </c>
      <c r="H61" s="106">
        <f t="shared" si="12"/>
        <v>0</v>
      </c>
      <c r="I61" s="74"/>
      <c r="J61" s="116"/>
    </row>
    <row r="62" spans="1:10" ht="17.25" customHeight="1">
      <c r="A62" s="654" t="s">
        <v>32</v>
      </c>
      <c r="B62" s="655" t="s">
        <v>286</v>
      </c>
      <c r="C62" s="546">
        <v>0</v>
      </c>
      <c r="D62" s="547">
        <v>0</v>
      </c>
      <c r="E62" s="163">
        <v>0</v>
      </c>
      <c r="F62" s="164">
        <v>0</v>
      </c>
      <c r="G62" s="167">
        <f>+(D62/60)*3*(C62-8)/8+(D62*3/60)</f>
        <v>0</v>
      </c>
      <c r="H62" s="106">
        <f>+E62+F62+G62</f>
        <v>0</v>
      </c>
      <c r="I62" s="727" t="s">
        <v>323</v>
      </c>
      <c r="J62" s="116"/>
    </row>
    <row r="63" spans="1:10" ht="17.25" customHeight="1">
      <c r="A63" s="654" t="s">
        <v>32</v>
      </c>
      <c r="B63" s="655" t="s">
        <v>287</v>
      </c>
      <c r="C63" s="546">
        <v>0</v>
      </c>
      <c r="D63" s="547">
        <v>0</v>
      </c>
      <c r="E63" s="163">
        <v>0</v>
      </c>
      <c r="F63" s="164">
        <v>0</v>
      </c>
      <c r="G63" s="167">
        <f>+(D63/60)*3*(C63-8)/8+(D63*3/60)</f>
        <v>0</v>
      </c>
      <c r="H63" s="106">
        <f>+E63+F63+G63</f>
        <v>0</v>
      </c>
      <c r="I63" s="728" t="s">
        <v>66</v>
      </c>
      <c r="J63" s="116"/>
    </row>
    <row r="64" spans="1:10" ht="17.25" customHeight="1">
      <c r="A64" s="654" t="s">
        <v>32</v>
      </c>
      <c r="B64" s="655" t="s">
        <v>288</v>
      </c>
      <c r="C64" s="546">
        <v>0</v>
      </c>
      <c r="D64" s="547">
        <v>0</v>
      </c>
      <c r="E64" s="163">
        <v>0</v>
      </c>
      <c r="F64" s="164">
        <v>0</v>
      </c>
      <c r="G64" s="167">
        <f t="shared" si="11"/>
        <v>0</v>
      </c>
      <c r="H64" s="106">
        <f t="shared" si="12"/>
        <v>0</v>
      </c>
      <c r="I64" s="90"/>
      <c r="J64" s="116"/>
    </row>
    <row r="65" spans="1:10" ht="17.25" customHeight="1">
      <c r="A65" s="654" t="s">
        <v>32</v>
      </c>
      <c r="B65" s="655" t="s">
        <v>289</v>
      </c>
      <c r="C65" s="546">
        <v>0</v>
      </c>
      <c r="D65" s="547">
        <v>0</v>
      </c>
      <c r="E65" s="163">
        <v>0</v>
      </c>
      <c r="F65" s="164">
        <v>0</v>
      </c>
      <c r="G65" s="167">
        <f t="shared" si="11"/>
        <v>0</v>
      </c>
      <c r="H65" s="106">
        <f t="shared" si="12"/>
        <v>0</v>
      </c>
      <c r="I65" s="90"/>
      <c r="J65" s="116"/>
    </row>
    <row r="66" spans="1:10" ht="17.25" customHeight="1">
      <c r="A66" s="656" t="s">
        <v>32</v>
      </c>
      <c r="B66" s="657" t="s">
        <v>290</v>
      </c>
      <c r="C66" s="548">
        <v>0</v>
      </c>
      <c r="D66" s="468">
        <v>0</v>
      </c>
      <c r="E66" s="168">
        <v>0</v>
      </c>
      <c r="F66" s="174">
        <v>0</v>
      </c>
      <c r="G66" s="169">
        <f t="shared" si="11"/>
        <v>0</v>
      </c>
      <c r="H66" s="506">
        <f t="shared" si="12"/>
        <v>0</v>
      </c>
      <c r="I66" s="507"/>
      <c r="J66" s="115"/>
    </row>
    <row r="67" spans="1:10" ht="18" customHeight="1">
      <c r="A67" s="88">
        <v>1.4</v>
      </c>
      <c r="B67" s="224" t="s">
        <v>61</v>
      </c>
      <c r="C67" s="226"/>
      <c r="D67" s="227"/>
      <c r="E67" s="228"/>
      <c r="F67" s="229"/>
      <c r="G67" s="220"/>
      <c r="H67" s="108"/>
      <c r="I67" s="90"/>
      <c r="J67" s="115"/>
    </row>
    <row r="68" spans="1:10" ht="13.5" customHeight="1">
      <c r="A68" s="88"/>
      <c r="B68" s="224"/>
      <c r="C68" s="590" t="s">
        <v>48</v>
      </c>
      <c r="D68" s="591" t="s">
        <v>49</v>
      </c>
      <c r="E68" s="218"/>
      <c r="F68" s="214"/>
      <c r="G68" s="214"/>
      <c r="H68" s="108"/>
      <c r="I68" s="90"/>
      <c r="J68" s="115"/>
    </row>
    <row r="69" spans="1:10" ht="18" customHeight="1">
      <c r="A69" s="12"/>
      <c r="B69" s="592" t="s">
        <v>226</v>
      </c>
      <c r="C69" s="593">
        <v>0</v>
      </c>
      <c r="D69" s="594">
        <v>0</v>
      </c>
      <c r="E69" s="595" t="s">
        <v>2</v>
      </c>
      <c r="F69" s="596" t="s">
        <v>2</v>
      </c>
      <c r="G69" s="596" t="s">
        <v>2</v>
      </c>
      <c r="H69" s="597">
        <f>+C69*D69*0.25</f>
        <v>0</v>
      </c>
      <c r="I69" s="729"/>
      <c r="J69" s="115"/>
    </row>
    <row r="70" spans="1:10" ht="18.75" customHeight="1">
      <c r="A70" s="11"/>
      <c r="B70" s="598" t="s">
        <v>227</v>
      </c>
      <c r="C70" s="599">
        <v>0</v>
      </c>
      <c r="D70" s="600">
        <v>0</v>
      </c>
      <c r="E70" s="601" t="s">
        <v>2</v>
      </c>
      <c r="F70" s="602" t="s">
        <v>2</v>
      </c>
      <c r="G70" s="602" t="s">
        <v>2</v>
      </c>
      <c r="H70" s="603">
        <f>+C70*D70*0.25</f>
        <v>0</v>
      </c>
      <c r="I70" s="507"/>
      <c r="J70" s="115"/>
    </row>
    <row r="71" spans="1:10" ht="18" customHeight="1">
      <c r="A71" s="22"/>
      <c r="B71" s="49" t="s">
        <v>310</v>
      </c>
      <c r="C71" s="209"/>
      <c r="D71" s="209"/>
      <c r="E71" s="209"/>
      <c r="F71" s="209"/>
      <c r="G71" s="209"/>
      <c r="H71" s="109">
        <f>SUM(H11:H70)</f>
        <v>0</v>
      </c>
      <c r="I71" s="76" t="s">
        <v>15</v>
      </c>
      <c r="J71" s="117"/>
    </row>
    <row r="72" spans="1:10" ht="18" customHeight="1">
      <c r="A72" s="22"/>
      <c r="B72" s="510" t="s">
        <v>312</v>
      </c>
      <c r="C72" s="697">
        <f>(SUM(D11:D25)+SUM(D45:D49))/15</f>
        <v>0</v>
      </c>
      <c r="D72" s="697">
        <f>SUM(D28:D43)/30</f>
        <v>0</v>
      </c>
      <c r="E72" s="697">
        <f>SUM(D55:D61)/30</f>
        <v>0</v>
      </c>
      <c r="F72" s="698" t="s">
        <v>311</v>
      </c>
      <c r="G72" s="701">
        <f>C72+D72+E72</f>
        <v>0</v>
      </c>
      <c r="H72" s="699"/>
      <c r="I72" s="700"/>
      <c r="J72" s="116"/>
    </row>
    <row r="73" spans="1:15" ht="4.5" customHeight="1">
      <c r="A73" s="139"/>
      <c r="B73" s="140"/>
      <c r="C73" s="141"/>
      <c r="D73" s="142"/>
      <c r="E73" s="143"/>
      <c r="F73" s="143"/>
      <c r="G73" s="143"/>
      <c r="H73" s="144"/>
      <c r="I73" s="145"/>
      <c r="J73" s="146"/>
      <c r="K73" s="10"/>
      <c r="L73" s="10"/>
      <c r="M73" s="10"/>
      <c r="N73" s="10"/>
      <c r="O73" s="10"/>
    </row>
    <row r="74" spans="1:10" ht="19.5" customHeight="1">
      <c r="A74" s="122"/>
      <c r="B74" s="123" t="s">
        <v>0</v>
      </c>
      <c r="C74" s="124" t="s">
        <v>9</v>
      </c>
      <c r="D74" s="125" t="s">
        <v>33</v>
      </c>
      <c r="E74" s="939" t="s">
        <v>5</v>
      </c>
      <c r="F74" s="939"/>
      <c r="G74" s="939"/>
      <c r="H74" s="126" t="s">
        <v>3</v>
      </c>
      <c r="I74" s="150" t="s">
        <v>297</v>
      </c>
      <c r="J74" s="116"/>
    </row>
    <row r="75" spans="1:10" ht="15.75" customHeight="1">
      <c r="A75" s="127"/>
      <c r="B75" s="128"/>
      <c r="C75" s="129"/>
      <c r="D75" s="129" t="s">
        <v>7</v>
      </c>
      <c r="E75" s="130" t="s">
        <v>6</v>
      </c>
      <c r="F75" s="131" t="s">
        <v>7</v>
      </c>
      <c r="G75" s="132" t="s">
        <v>8</v>
      </c>
      <c r="H75" s="133"/>
      <c r="I75" s="121"/>
      <c r="J75" s="116"/>
    </row>
    <row r="76" spans="1:10" ht="19.5" customHeight="1">
      <c r="A76" s="134">
        <v>1.2</v>
      </c>
      <c r="B76" s="135" t="s">
        <v>46</v>
      </c>
      <c r="C76" s="119"/>
      <c r="D76" s="119"/>
      <c r="E76" s="120"/>
      <c r="F76" s="120"/>
      <c r="G76" s="120"/>
      <c r="H76" s="100"/>
      <c r="I76" s="136"/>
      <c r="J76" s="116"/>
    </row>
    <row r="77" spans="1:10" ht="19.5" customHeight="1">
      <c r="A77" s="211" t="s">
        <v>69</v>
      </c>
      <c r="B77" s="137" t="s">
        <v>177</v>
      </c>
      <c r="C77" s="119"/>
      <c r="D77" s="119"/>
      <c r="E77" s="120"/>
      <c r="F77" s="120"/>
      <c r="G77" s="120"/>
      <c r="H77" s="100"/>
      <c r="I77" s="121"/>
      <c r="J77" s="116"/>
    </row>
    <row r="78" spans="1:10" ht="17.25" customHeight="1">
      <c r="A78" s="24"/>
      <c r="B78" s="478" t="s">
        <v>248</v>
      </c>
      <c r="C78" s="520">
        <v>0</v>
      </c>
      <c r="D78" s="521">
        <v>0</v>
      </c>
      <c r="E78" s="675">
        <f>IF(C78&gt;20,(2*D78/15),(C78*(2/20)*D78/15))</f>
        <v>0</v>
      </c>
      <c r="F78" s="676">
        <f aca="true" t="shared" si="13" ref="F78:F84">+D78*1/15</f>
        <v>0</v>
      </c>
      <c r="G78" s="677">
        <f>+(D78/15)*1*(C78-20)/20+(D78*1/15)</f>
        <v>0</v>
      </c>
      <c r="H78" s="525">
        <f aca="true" t="shared" si="14" ref="H78:H84">+E78+F78+G78</f>
        <v>0</v>
      </c>
      <c r="I78" s="730" t="s">
        <v>158</v>
      </c>
      <c r="J78" s="116"/>
    </row>
    <row r="79" spans="1:10" ht="17.25" customHeight="1">
      <c r="A79" s="24"/>
      <c r="B79" s="478" t="s">
        <v>159</v>
      </c>
      <c r="C79" s="526">
        <v>0</v>
      </c>
      <c r="D79" s="527">
        <v>0</v>
      </c>
      <c r="E79" s="675">
        <f>IF(C79&gt;20,(2*D79/15),(C79*(2/20)*D79/15))</f>
        <v>0</v>
      </c>
      <c r="F79" s="676">
        <f t="shared" si="13"/>
        <v>0</v>
      </c>
      <c r="G79" s="677">
        <f>+(D79/15)*1*(C79-20)/20+(D79*1/15)</f>
        <v>0</v>
      </c>
      <c r="H79" s="525">
        <f t="shared" si="14"/>
        <v>0</v>
      </c>
      <c r="I79" s="477"/>
      <c r="J79" s="116"/>
    </row>
    <row r="80" spans="1:10" s="475" customFormat="1" ht="17.25" customHeight="1">
      <c r="A80" s="476"/>
      <c r="B80" s="479" t="s">
        <v>160</v>
      </c>
      <c r="C80" s="534">
        <v>0</v>
      </c>
      <c r="D80" s="535">
        <v>0</v>
      </c>
      <c r="E80" s="675">
        <f>IF(C80&gt;20,(2*D80/15),(C80*(2/20)*D80/15))</f>
        <v>0</v>
      </c>
      <c r="F80" s="676">
        <f t="shared" si="13"/>
        <v>0</v>
      </c>
      <c r="G80" s="677">
        <f>+(D80/15)*1*(C80-20)/20+(D80*1/15)</f>
        <v>0</v>
      </c>
      <c r="H80" s="525">
        <f t="shared" si="14"/>
        <v>0</v>
      </c>
      <c r="I80" s="477"/>
      <c r="J80" s="474"/>
    </row>
    <row r="81" spans="1:10" ht="17.25" customHeight="1">
      <c r="A81" s="19"/>
      <c r="B81" s="480" t="s">
        <v>161</v>
      </c>
      <c r="C81" s="536">
        <v>0</v>
      </c>
      <c r="D81" s="537">
        <v>0</v>
      </c>
      <c r="E81" s="529">
        <f>IF(C81&gt;15,(2*D81/15),(C81*(2/15)*D81/15))</f>
        <v>0</v>
      </c>
      <c r="F81" s="530">
        <f t="shared" si="13"/>
        <v>0</v>
      </c>
      <c r="G81" s="531">
        <f>+(D81/15)*1*(C81-15)/15+(D81*1/15)</f>
        <v>0</v>
      </c>
      <c r="H81" s="532">
        <f t="shared" si="14"/>
        <v>0</v>
      </c>
      <c r="I81" s="731" t="s">
        <v>157</v>
      </c>
      <c r="J81" s="116"/>
    </row>
    <row r="82" spans="1:10" ht="17.25" customHeight="1">
      <c r="A82" s="19"/>
      <c r="B82" s="480" t="s">
        <v>162</v>
      </c>
      <c r="C82" s="518">
        <v>0</v>
      </c>
      <c r="D82" s="519">
        <v>0</v>
      </c>
      <c r="E82" s="529">
        <f>IF(C82&gt;15,(2*D82/15),(C82*(2/15)*D82/15))</f>
        <v>0</v>
      </c>
      <c r="F82" s="530">
        <f t="shared" si="13"/>
        <v>0</v>
      </c>
      <c r="G82" s="531">
        <f>+(D82/15)*1*(C82-15)/15+(D82*1/15)</f>
        <v>0</v>
      </c>
      <c r="H82" s="532">
        <f t="shared" si="14"/>
        <v>0</v>
      </c>
      <c r="I82" s="477"/>
      <c r="J82" s="116"/>
    </row>
    <row r="83" spans="1:10" ht="17.25" customHeight="1">
      <c r="A83" s="19"/>
      <c r="B83" s="480" t="s">
        <v>163</v>
      </c>
      <c r="C83" s="518">
        <v>0</v>
      </c>
      <c r="D83" s="519">
        <v>0</v>
      </c>
      <c r="E83" s="529">
        <f>IF(C83&gt;15,(2*D83/15),(C83*(2/15)*D83/15))</f>
        <v>0</v>
      </c>
      <c r="F83" s="530">
        <f t="shared" si="13"/>
        <v>0</v>
      </c>
      <c r="G83" s="531">
        <f>+(D83/15)*1*(C83-15)/15+(D83*1/15)</f>
        <v>0</v>
      </c>
      <c r="H83" s="532">
        <f t="shared" si="14"/>
        <v>0</v>
      </c>
      <c r="I83" s="477"/>
      <c r="J83" s="116"/>
    </row>
    <row r="84" spans="1:10" ht="17.25" customHeight="1">
      <c r="A84" s="20"/>
      <c r="B84" s="491" t="s">
        <v>164</v>
      </c>
      <c r="C84" s="95">
        <v>0</v>
      </c>
      <c r="D84" s="96">
        <v>0</v>
      </c>
      <c r="E84" s="678">
        <f>IF(C84&gt;15,(2*D84/15),(C84*(2/15)*D84/15))</f>
        <v>0</v>
      </c>
      <c r="F84" s="679">
        <f t="shared" si="13"/>
        <v>0</v>
      </c>
      <c r="G84" s="680">
        <f>+(D84/15)*1*(C84-15)/15+(D84*1/15)</f>
        <v>0</v>
      </c>
      <c r="H84" s="538">
        <f t="shared" si="14"/>
        <v>0</v>
      </c>
      <c r="I84" s="732"/>
      <c r="J84" s="116"/>
    </row>
    <row r="85" spans="1:11" ht="17.25" customHeight="1">
      <c r="A85" s="19"/>
      <c r="B85" s="21" t="s">
        <v>291</v>
      </c>
      <c r="C85" s="60"/>
      <c r="D85" s="60"/>
      <c r="E85" s="56"/>
      <c r="F85" s="57"/>
      <c r="G85" s="56"/>
      <c r="H85" s="673"/>
      <c r="I85" s="74"/>
      <c r="J85" s="116"/>
      <c r="K85" s="74"/>
    </row>
    <row r="86" spans="1:11" ht="17.25" customHeight="1">
      <c r="A86" s="19"/>
      <c r="B86" s="69" t="s">
        <v>202</v>
      </c>
      <c r="C86" s="550">
        <v>0</v>
      </c>
      <c r="D86" s="551">
        <v>0</v>
      </c>
      <c r="E86" s="163">
        <f>IF(C86&gt;10,(2*D86/30),(C86*(2/10)*D86/30))</f>
        <v>0</v>
      </c>
      <c r="F86" s="164">
        <f>+D86*3/30</f>
        <v>0</v>
      </c>
      <c r="G86" s="167">
        <f>+(D86/30)*1*(C86-10)/10+(D86*1/30)</f>
        <v>0</v>
      </c>
      <c r="H86" s="106">
        <f>+E86+F86+G86</f>
        <v>0</v>
      </c>
      <c r="I86" s="477"/>
      <c r="J86" s="116"/>
      <c r="K86" s="473"/>
    </row>
    <row r="87" spans="1:11" ht="17.25" customHeight="1">
      <c r="A87" s="19"/>
      <c r="B87" s="69" t="s">
        <v>203</v>
      </c>
      <c r="C87" s="552">
        <v>0</v>
      </c>
      <c r="D87" s="553">
        <v>0</v>
      </c>
      <c r="E87" s="163">
        <f>IF(C87&gt;10,(2*D87/30),(C87*(2/10)*D87/30))</f>
        <v>0</v>
      </c>
      <c r="F87" s="164">
        <f>+D87*3/30</f>
        <v>0</v>
      </c>
      <c r="G87" s="167">
        <f>+(D87/30)*1*(C87-10)/10+(D87*1/30)</f>
        <v>0</v>
      </c>
      <c r="H87" s="106">
        <f>+E87+F87+G87</f>
        <v>0</v>
      </c>
      <c r="I87" s="477"/>
      <c r="J87" s="116"/>
      <c r="K87" s="472"/>
    </row>
    <row r="88" spans="1:11" ht="17.25" customHeight="1">
      <c r="A88" s="19"/>
      <c r="B88" s="70" t="s">
        <v>204</v>
      </c>
      <c r="C88" s="95">
        <v>0</v>
      </c>
      <c r="D88" s="96">
        <v>0</v>
      </c>
      <c r="E88" s="168">
        <f>IF(C88&gt;10,(2*D88/30),(C88*(2/10)*D88/30))</f>
        <v>0</v>
      </c>
      <c r="F88" s="174">
        <f>+D88*3/30</f>
        <v>0</v>
      </c>
      <c r="G88" s="169">
        <f>+(D88/30)*1*(C88-10)/10+(D88*1/30)</f>
        <v>0</v>
      </c>
      <c r="H88" s="107">
        <f>+E88+F88+G88</f>
        <v>0</v>
      </c>
      <c r="I88" s="732"/>
      <c r="J88" s="116"/>
      <c r="K88" s="733"/>
    </row>
    <row r="89" spans="1:10" ht="19.5" customHeight="1">
      <c r="A89" s="19"/>
      <c r="B89" s="118" t="s">
        <v>67</v>
      </c>
      <c r="C89" s="119"/>
      <c r="D89" s="119"/>
      <c r="E89" s="120"/>
      <c r="F89" s="103"/>
      <c r="G89" s="120"/>
      <c r="H89" s="108"/>
      <c r="I89" s="121"/>
      <c r="J89" s="116"/>
    </row>
    <row r="90" spans="1:10" ht="16.5" customHeight="1">
      <c r="A90" s="25"/>
      <c r="B90" s="73" t="s">
        <v>206</v>
      </c>
      <c r="C90" s="520">
        <v>0</v>
      </c>
      <c r="D90" s="521">
        <v>0</v>
      </c>
      <c r="E90" s="522">
        <f>IF(C90&gt;5,(4*D90/15),(C90*(4/5)*D90/15))</f>
        <v>0</v>
      </c>
      <c r="F90" s="523">
        <f>+D90*1/15</f>
        <v>0</v>
      </c>
      <c r="G90" s="524">
        <f>+(D90/15)*1*(C90-5)/5+(D90*1/15)</f>
        <v>0</v>
      </c>
      <c r="H90" s="525">
        <f>+E90+F90+G90</f>
        <v>0</v>
      </c>
      <c r="I90" s="734"/>
      <c r="J90" s="116"/>
    </row>
    <row r="91" spans="1:10" ht="16.5" customHeight="1">
      <c r="A91" s="19"/>
      <c r="B91" s="69" t="s">
        <v>205</v>
      </c>
      <c r="C91" s="526">
        <v>0</v>
      </c>
      <c r="D91" s="527">
        <v>0</v>
      </c>
      <c r="E91" s="522">
        <f aca="true" t="shared" si="15" ref="E91:E96">IF(C91&gt;5,(4*D91/15),(C91*(4/5)*D91/15))</f>
        <v>0</v>
      </c>
      <c r="F91" s="523">
        <f aca="true" t="shared" si="16" ref="F91:F96">+D91*1/15</f>
        <v>0</v>
      </c>
      <c r="G91" s="524">
        <f aca="true" t="shared" si="17" ref="G91:G96">+(D91/15)*1*(C91-5)/5+(D91*1/15)</f>
        <v>0</v>
      </c>
      <c r="H91" s="528">
        <f aca="true" t="shared" si="18" ref="H91:H96">+E91+F91+G91</f>
        <v>0</v>
      </c>
      <c r="I91" s="481"/>
      <c r="J91" s="116"/>
    </row>
    <row r="92" spans="1:10" ht="16.5" customHeight="1">
      <c r="A92" s="19"/>
      <c r="B92" s="69" t="s">
        <v>207</v>
      </c>
      <c r="C92" s="526">
        <v>0</v>
      </c>
      <c r="D92" s="527">
        <v>0</v>
      </c>
      <c r="E92" s="522">
        <f t="shared" si="15"/>
        <v>0</v>
      </c>
      <c r="F92" s="523">
        <f t="shared" si="16"/>
        <v>0</v>
      </c>
      <c r="G92" s="524">
        <f t="shared" si="17"/>
        <v>0</v>
      </c>
      <c r="H92" s="528">
        <f t="shared" si="18"/>
        <v>0</v>
      </c>
      <c r="I92" s="481"/>
      <c r="J92" s="116"/>
    </row>
    <row r="93" spans="1:10" ht="16.5" customHeight="1">
      <c r="A93" s="19"/>
      <c r="B93" s="69" t="s">
        <v>208</v>
      </c>
      <c r="C93" s="516">
        <v>0</v>
      </c>
      <c r="D93" s="517">
        <v>0</v>
      </c>
      <c r="E93" s="522">
        <f t="shared" si="15"/>
        <v>0</v>
      </c>
      <c r="F93" s="523">
        <f t="shared" si="16"/>
        <v>0</v>
      </c>
      <c r="G93" s="524">
        <f t="shared" si="17"/>
        <v>0</v>
      </c>
      <c r="H93" s="532">
        <f t="shared" si="18"/>
        <v>0</v>
      </c>
      <c r="I93" s="731"/>
      <c r="J93" s="116"/>
    </row>
    <row r="94" spans="1:10" ht="16.5" customHeight="1">
      <c r="A94" s="19"/>
      <c r="B94" s="69" t="s">
        <v>209</v>
      </c>
      <c r="C94" s="518">
        <v>0</v>
      </c>
      <c r="D94" s="519">
        <v>0</v>
      </c>
      <c r="E94" s="522">
        <f t="shared" si="15"/>
        <v>0</v>
      </c>
      <c r="F94" s="523">
        <f t="shared" si="16"/>
        <v>0</v>
      </c>
      <c r="G94" s="524">
        <f t="shared" si="17"/>
        <v>0</v>
      </c>
      <c r="H94" s="533">
        <f t="shared" si="18"/>
        <v>0</v>
      </c>
      <c r="I94" s="481"/>
      <c r="J94" s="116"/>
    </row>
    <row r="95" spans="1:10" ht="16.5" customHeight="1">
      <c r="A95" s="19"/>
      <c r="B95" s="69" t="s">
        <v>210</v>
      </c>
      <c r="C95" s="518">
        <v>0</v>
      </c>
      <c r="D95" s="519">
        <v>0</v>
      </c>
      <c r="E95" s="522">
        <f t="shared" si="15"/>
        <v>0</v>
      </c>
      <c r="F95" s="523">
        <f t="shared" si="16"/>
        <v>0</v>
      </c>
      <c r="G95" s="524">
        <f t="shared" si="17"/>
        <v>0</v>
      </c>
      <c r="H95" s="533">
        <f t="shared" si="18"/>
        <v>0</v>
      </c>
      <c r="I95" s="481"/>
      <c r="J95" s="116"/>
    </row>
    <row r="96" spans="1:10" ht="16.5" customHeight="1">
      <c r="A96" s="19"/>
      <c r="B96" s="70" t="s">
        <v>211</v>
      </c>
      <c r="C96" s="95">
        <v>0</v>
      </c>
      <c r="D96" s="96">
        <v>0</v>
      </c>
      <c r="E96" s="906">
        <f t="shared" si="15"/>
        <v>0</v>
      </c>
      <c r="F96" s="907">
        <f t="shared" si="16"/>
        <v>0</v>
      </c>
      <c r="G96" s="908">
        <f t="shared" si="17"/>
        <v>0</v>
      </c>
      <c r="H96" s="148">
        <f t="shared" si="18"/>
        <v>0</v>
      </c>
      <c r="I96" s="660"/>
      <c r="J96" s="115"/>
    </row>
    <row r="97" spans="1:10" ht="16.5" customHeight="1">
      <c r="A97" s="20"/>
      <c r="B97" s="684" t="s">
        <v>3</v>
      </c>
      <c r="C97" s="95"/>
      <c r="D97" s="96"/>
      <c r="E97" s="658"/>
      <c r="F97" s="658"/>
      <c r="G97" s="658"/>
      <c r="H97" s="683"/>
      <c r="I97" s="483"/>
      <c r="J97" s="116"/>
    </row>
    <row r="98" spans="1:10" s="6" customFormat="1" ht="6" customHeight="1">
      <c r="A98" s="661"/>
      <c r="B98" s="662"/>
      <c r="C98" s="663"/>
      <c r="D98" s="664"/>
      <c r="E98" s="665"/>
      <c r="F98" s="665"/>
      <c r="G98" s="665"/>
      <c r="H98" s="666"/>
      <c r="I98" s="667"/>
      <c r="J98" s="115"/>
    </row>
    <row r="99" spans="1:10" ht="16.5" customHeight="1">
      <c r="A99" s="122"/>
      <c r="B99" s="123" t="s">
        <v>0</v>
      </c>
      <c r="C99" s="124" t="s">
        <v>9</v>
      </c>
      <c r="D99" s="125" t="s">
        <v>33</v>
      </c>
      <c r="E99" s="943" t="s">
        <v>5</v>
      </c>
      <c r="F99" s="944"/>
      <c r="G99" s="945"/>
      <c r="H99" s="126" t="s">
        <v>3</v>
      </c>
      <c r="I99" s="150" t="s">
        <v>298</v>
      </c>
      <c r="J99" s="116"/>
    </row>
    <row r="100" spans="1:10" ht="19.5" customHeight="1">
      <c r="A100" s="127"/>
      <c r="B100" s="128"/>
      <c r="C100" s="129"/>
      <c r="D100" s="129" t="s">
        <v>7</v>
      </c>
      <c r="E100" s="130" t="s">
        <v>6</v>
      </c>
      <c r="F100" s="131" t="s">
        <v>7</v>
      </c>
      <c r="G100" s="132" t="s">
        <v>8</v>
      </c>
      <c r="H100" s="133"/>
      <c r="I100" s="637"/>
      <c r="J100" s="116"/>
    </row>
    <row r="101" spans="1:10" ht="19.5" customHeight="1">
      <c r="A101" s="122"/>
      <c r="B101" s="21" t="s">
        <v>313</v>
      </c>
      <c r="C101" s="702"/>
      <c r="D101" s="124"/>
      <c r="E101" s="703"/>
      <c r="F101" s="703"/>
      <c r="G101" s="704"/>
      <c r="H101" s="705"/>
      <c r="I101" s="74"/>
      <c r="J101" s="116"/>
    </row>
    <row r="102" spans="1:10" ht="17.25" customHeight="1">
      <c r="A102" s="19"/>
      <c r="B102" s="21" t="s">
        <v>314</v>
      </c>
      <c r="C102" s="62"/>
      <c r="D102" s="61"/>
      <c r="E102" s="59"/>
      <c r="F102" s="59"/>
      <c r="G102" s="56"/>
      <c r="H102" s="110"/>
      <c r="I102" s="74"/>
      <c r="J102" s="116"/>
    </row>
    <row r="103" spans="1:10" ht="17.25" customHeight="1">
      <c r="A103" s="19"/>
      <c r="B103" s="69" t="s">
        <v>52</v>
      </c>
      <c r="C103" s="551">
        <v>0</v>
      </c>
      <c r="D103" s="551">
        <v>0</v>
      </c>
      <c r="E103" s="163">
        <f>IF(C103&gt;5,(2*D103/45),(C103*(2/5)*D103/45))</f>
        <v>0</v>
      </c>
      <c r="F103" s="164">
        <f>+D103*4/45</f>
        <v>0</v>
      </c>
      <c r="G103" s="167">
        <f>+(D103/45)*3*(C103-5)/5+(D103*3/45)</f>
        <v>0</v>
      </c>
      <c r="H103" s="106">
        <f>+E103+F103+G103</f>
        <v>0</v>
      </c>
      <c r="I103" s="473"/>
      <c r="J103" s="492"/>
    </row>
    <row r="104" spans="1:10" ht="17.25" customHeight="1">
      <c r="A104" s="19"/>
      <c r="B104" s="69" t="s">
        <v>40</v>
      </c>
      <c r="C104" s="553">
        <v>0</v>
      </c>
      <c r="D104" s="553">
        <v>0</v>
      </c>
      <c r="E104" s="163">
        <f>IF(C104&gt;5,(2*D104/45),(C104*(2/5)*D104/45))</f>
        <v>0</v>
      </c>
      <c r="F104" s="164">
        <f>+D104*4/45</f>
        <v>0</v>
      </c>
      <c r="G104" s="167">
        <f>+(D104/45)*3*(C104-5)/5+(D104*3/45)</f>
        <v>0</v>
      </c>
      <c r="H104" s="106">
        <f>+E104+F104+G104</f>
        <v>0</v>
      </c>
      <c r="I104" s="472"/>
      <c r="J104" s="116"/>
    </row>
    <row r="105" spans="1:10" ht="17.25" customHeight="1">
      <c r="A105" s="20"/>
      <c r="B105" s="70" t="s">
        <v>39</v>
      </c>
      <c r="C105" s="659">
        <v>0</v>
      </c>
      <c r="D105" s="659">
        <v>0</v>
      </c>
      <c r="E105" s="168">
        <f>IF(C105&gt;5,(2*D105/45),(C105*(2/5)*D105/45))</f>
        <v>0</v>
      </c>
      <c r="F105" s="174">
        <f>+D105*4/45</f>
        <v>0</v>
      </c>
      <c r="G105" s="169">
        <f>+(D105/45)*3*(C105-5)/5+(D105*3/45)</f>
        <v>0</v>
      </c>
      <c r="H105" s="506">
        <f>+E105+F105+G105</f>
        <v>0</v>
      </c>
      <c r="I105" s="217"/>
      <c r="J105" s="116"/>
    </row>
    <row r="106" spans="1:10" ht="17.25" customHeight="1">
      <c r="A106" s="22"/>
      <c r="B106" s="681" t="s">
        <v>315</v>
      </c>
      <c r="C106" s="682"/>
      <c r="D106" s="682"/>
      <c r="E106" s="587"/>
      <c r="F106" s="587"/>
      <c r="G106" s="587"/>
      <c r="H106" s="706">
        <f>SUM(H78:H105)</f>
        <v>0</v>
      </c>
      <c r="I106" s="672"/>
      <c r="J106" s="492"/>
    </row>
    <row r="107" spans="1:10" ht="17.25" customHeight="1">
      <c r="A107" s="20"/>
      <c r="B107" s="514" t="s">
        <v>324</v>
      </c>
      <c r="C107" s="674">
        <f>(SUM(D78:D84)+SUM(D90:D96))/15</f>
        <v>0</v>
      </c>
      <c r="D107" s="674">
        <f>(SUM(D86:D88))/30</f>
        <v>0</v>
      </c>
      <c r="E107" s="674">
        <f>(SUM(D103:D105)*2/45)</f>
        <v>0</v>
      </c>
      <c r="F107" s="222" t="s">
        <v>316</v>
      </c>
      <c r="G107" s="707">
        <f>C107+D107+E107</f>
        <v>0</v>
      </c>
      <c r="H107" s="668"/>
      <c r="I107" s="669"/>
      <c r="J107" s="492"/>
    </row>
    <row r="108" spans="1:10" ht="19.5" customHeight="1">
      <c r="A108" s="122"/>
      <c r="B108" s="123" t="s">
        <v>0</v>
      </c>
      <c r="C108" s="124" t="s">
        <v>9</v>
      </c>
      <c r="D108" s="125" t="s">
        <v>33</v>
      </c>
      <c r="E108" s="941" t="s">
        <v>5</v>
      </c>
      <c r="F108" s="939"/>
      <c r="G108" s="942"/>
      <c r="H108" s="638" t="s">
        <v>3</v>
      </c>
      <c r="I108" s="639" t="s">
        <v>292</v>
      </c>
      <c r="J108" s="116"/>
    </row>
    <row r="109" spans="1:10" ht="17.25" customHeight="1">
      <c r="A109" s="127"/>
      <c r="B109" s="128"/>
      <c r="C109" s="129"/>
      <c r="D109" s="129" t="s">
        <v>7</v>
      </c>
      <c r="E109" s="130" t="s">
        <v>6</v>
      </c>
      <c r="F109" s="131" t="s">
        <v>7</v>
      </c>
      <c r="G109" s="132" t="s">
        <v>8</v>
      </c>
      <c r="H109" s="133"/>
      <c r="I109" s="637"/>
      <c r="J109" s="116"/>
    </row>
    <row r="110" spans="1:15" ht="18.75">
      <c r="A110" s="12">
        <v>1.3</v>
      </c>
      <c r="B110" s="224" t="s">
        <v>62</v>
      </c>
      <c r="C110" s="225" t="s">
        <v>45</v>
      </c>
      <c r="D110" s="225" t="s">
        <v>47</v>
      </c>
      <c r="E110" s="218"/>
      <c r="F110" s="215" t="s">
        <v>72</v>
      </c>
      <c r="G110" s="219"/>
      <c r="H110" s="108"/>
      <c r="I110" s="121" t="s">
        <v>136</v>
      </c>
      <c r="J110" s="505"/>
      <c r="K110" s="13"/>
      <c r="L110" s="13"/>
      <c r="M110" s="13"/>
      <c r="N110" s="13"/>
      <c r="O110" s="13"/>
    </row>
    <row r="111" spans="1:15" ht="18.75">
      <c r="A111" s="12"/>
      <c r="B111" s="91" t="s">
        <v>200</v>
      </c>
      <c r="C111" s="97">
        <v>0</v>
      </c>
      <c r="D111" s="97">
        <v>0</v>
      </c>
      <c r="E111" s="218" t="s">
        <v>2</v>
      </c>
      <c r="F111" s="214">
        <f>C111+D111</f>
        <v>0</v>
      </c>
      <c r="G111" s="220" t="s">
        <v>2</v>
      </c>
      <c r="H111" s="108">
        <f>+(C111+D111)*0.07*1</f>
        <v>0</v>
      </c>
      <c r="I111" s="121" t="s">
        <v>137</v>
      </c>
      <c r="J111" s="505"/>
      <c r="K111" s="13"/>
      <c r="L111" s="13"/>
      <c r="M111" s="13"/>
      <c r="N111" s="13"/>
      <c r="O111" s="13"/>
    </row>
    <row r="112" spans="1:15" ht="18.75">
      <c r="A112" s="12"/>
      <c r="B112" s="91" t="s">
        <v>201</v>
      </c>
      <c r="C112" s="97">
        <v>0</v>
      </c>
      <c r="D112" s="97">
        <v>0</v>
      </c>
      <c r="E112" s="218" t="s">
        <v>2</v>
      </c>
      <c r="F112" s="214">
        <f>C112+D112</f>
        <v>0</v>
      </c>
      <c r="G112" s="220" t="s">
        <v>2</v>
      </c>
      <c r="H112" s="108">
        <f>+(C112+D112)*0.07*1</f>
        <v>0</v>
      </c>
      <c r="I112" s="223" t="s">
        <v>68</v>
      </c>
      <c r="J112" s="505"/>
      <c r="K112" s="13"/>
      <c r="L112" s="13"/>
      <c r="M112" s="13"/>
      <c r="N112" s="13"/>
      <c r="O112" s="13"/>
    </row>
    <row r="113" spans="1:15" ht="18.75">
      <c r="A113" s="12"/>
      <c r="B113" s="91" t="s">
        <v>321</v>
      </c>
      <c r="C113" s="97">
        <v>0</v>
      </c>
      <c r="D113" s="97">
        <v>0</v>
      </c>
      <c r="E113" s="218" t="s">
        <v>2</v>
      </c>
      <c r="F113" s="214">
        <f>C113+D113</f>
        <v>0</v>
      </c>
      <c r="G113" s="220" t="s">
        <v>2</v>
      </c>
      <c r="H113" s="108">
        <f>+(C113+D113)*0.07*1</f>
        <v>0</v>
      </c>
      <c r="I113" s="210"/>
      <c r="J113" s="505"/>
      <c r="K113" s="13"/>
      <c r="L113" s="13"/>
      <c r="M113" s="13"/>
      <c r="N113" s="13"/>
      <c r="O113" s="13"/>
    </row>
    <row r="114" spans="1:15" ht="17.25" customHeight="1">
      <c r="A114" s="718"/>
      <c r="B114" s="719" t="s">
        <v>296</v>
      </c>
      <c r="C114" s="720"/>
      <c r="D114" s="720"/>
      <c r="E114" s="721"/>
      <c r="F114" s="721"/>
      <c r="G114" s="722"/>
      <c r="H114" s="723">
        <f>SUM(H111:H113)</f>
        <v>0</v>
      </c>
      <c r="I114" s="724"/>
      <c r="J114" s="505"/>
      <c r="K114" s="13"/>
      <c r="L114" s="13"/>
      <c r="M114" s="13"/>
      <c r="N114" s="13"/>
      <c r="O114" s="13"/>
    </row>
    <row r="115" spans="1:15" ht="19.5" customHeight="1" thickBot="1">
      <c r="A115" s="183"/>
      <c r="B115" s="632" t="s">
        <v>293</v>
      </c>
      <c r="C115" s="511"/>
      <c r="D115" s="511"/>
      <c r="E115" s="512"/>
      <c r="F115" s="512"/>
      <c r="G115" s="512"/>
      <c r="H115" s="513"/>
      <c r="I115" s="633"/>
      <c r="J115" s="161"/>
      <c r="K115" s="13"/>
      <c r="L115" s="13"/>
      <c r="M115" s="13"/>
      <c r="N115" s="13"/>
      <c r="O115" s="13"/>
    </row>
    <row r="116" spans="1:10" s="636" customFormat="1" ht="18.75">
      <c r="A116" s="122"/>
      <c r="B116" s="123" t="s">
        <v>0</v>
      </c>
      <c r="C116" s="124" t="s">
        <v>11</v>
      </c>
      <c r="D116" s="125" t="s">
        <v>33</v>
      </c>
      <c r="E116" s="934" t="s">
        <v>5</v>
      </c>
      <c r="F116" s="935"/>
      <c r="G116" s="936"/>
      <c r="H116" s="126" t="s">
        <v>3</v>
      </c>
      <c r="I116" s="150" t="s">
        <v>276</v>
      </c>
      <c r="J116" s="628"/>
    </row>
    <row r="117" spans="1:15" s="636" customFormat="1" ht="18" customHeight="1">
      <c r="A117" s="127"/>
      <c r="B117" s="128"/>
      <c r="C117" s="129" t="s">
        <v>13</v>
      </c>
      <c r="D117" s="129" t="s">
        <v>181</v>
      </c>
      <c r="E117" s="130" t="s">
        <v>6</v>
      </c>
      <c r="F117" s="131" t="s">
        <v>7</v>
      </c>
      <c r="G117" s="132" t="s">
        <v>8</v>
      </c>
      <c r="H117" s="133"/>
      <c r="I117" s="121"/>
      <c r="J117" s="628"/>
      <c r="K117" s="204"/>
      <c r="L117" s="204"/>
      <c r="M117" s="204"/>
      <c r="N117" s="204"/>
      <c r="O117" s="204"/>
    </row>
    <row r="118" spans="1:10" ht="21.75">
      <c r="A118" s="634" t="s">
        <v>70</v>
      </c>
      <c r="B118" s="239" t="s">
        <v>142</v>
      </c>
      <c r="C118" s="629"/>
      <c r="D118" s="629"/>
      <c r="E118" s="630"/>
      <c r="F118" s="630"/>
      <c r="G118" s="630"/>
      <c r="H118" s="269"/>
      <c r="I118" s="635"/>
      <c r="J118" s="173"/>
    </row>
    <row r="119" spans="1:10" ht="21.75">
      <c r="A119" s="634"/>
      <c r="B119" s="239" t="s">
        <v>275</v>
      </c>
      <c r="C119" s="629"/>
      <c r="D119" s="629"/>
      <c r="E119" s="630"/>
      <c r="F119" s="630"/>
      <c r="G119" s="630"/>
      <c r="H119" s="269"/>
      <c r="I119" s="275"/>
      <c r="J119" s="116"/>
    </row>
    <row r="120" spans="1:10" ht="18.75">
      <c r="A120" s="24"/>
      <c r="B120" s="212" t="s">
        <v>295</v>
      </c>
      <c r="C120" s="557">
        <v>0</v>
      </c>
      <c r="D120" s="558">
        <v>0</v>
      </c>
      <c r="E120" s="559">
        <f>IF(C120&gt;2,(3*D120/15),(C120*(3/2)*D120/15))</f>
        <v>0</v>
      </c>
      <c r="F120" s="560">
        <f>+D120*1/15</f>
        <v>0</v>
      </c>
      <c r="G120" s="561">
        <f>+(D120/15)*1*(C120-2)/2+(D120*1/15)</f>
        <v>0</v>
      </c>
      <c r="H120" s="231">
        <f>(+E120+F120+G120)</f>
        <v>0</v>
      </c>
      <c r="I120" s="74" t="s">
        <v>178</v>
      </c>
      <c r="J120" s="116">
        <f>12*1.7</f>
        <v>20.4</v>
      </c>
    </row>
    <row r="121" spans="1:10" ht="18.75">
      <c r="A121" s="24"/>
      <c r="B121" s="212" t="s">
        <v>155</v>
      </c>
      <c r="C121" s="562">
        <v>0</v>
      </c>
      <c r="D121" s="563">
        <v>0</v>
      </c>
      <c r="E121" s="564">
        <f>IF(C121&gt;2,(3*D121/15),(C121*(3/2)*D121/15))</f>
        <v>0</v>
      </c>
      <c r="F121" s="565">
        <f>+D121*1/15</f>
        <v>0</v>
      </c>
      <c r="G121" s="566">
        <f>+(D121/15)*1*(C121-2)/2+(D121*1/15)</f>
        <v>0</v>
      </c>
      <c r="H121" s="231">
        <f>(+E121+F121+G121)</f>
        <v>0</v>
      </c>
      <c r="I121" s="74"/>
      <c r="J121" s="115"/>
    </row>
    <row r="122" spans="1:10" s="204" customFormat="1" ht="21.75">
      <c r="A122" s="19"/>
      <c r="B122" s="212" t="s">
        <v>156</v>
      </c>
      <c r="C122" s="562">
        <v>0</v>
      </c>
      <c r="D122" s="563">
        <v>0</v>
      </c>
      <c r="E122" s="564">
        <f>IF(C122&gt;2,(3*D122/15),(C122*(3/2)*D122/15))</f>
        <v>0</v>
      </c>
      <c r="F122" s="565">
        <f>+D122*1/15</f>
        <v>0</v>
      </c>
      <c r="G122" s="566">
        <f>+(D122/15)*1*(C122-2)/2+(D122*1/15)</f>
        <v>0</v>
      </c>
      <c r="H122" s="231">
        <f>(+E122+F122+G122)</f>
        <v>0</v>
      </c>
      <c r="I122" s="75"/>
      <c r="J122" s="628"/>
    </row>
    <row r="123" spans="1:10" ht="21.75">
      <c r="A123" s="19"/>
      <c r="B123" s="213" t="s">
        <v>71</v>
      </c>
      <c r="C123" s="95">
        <v>0</v>
      </c>
      <c r="D123" s="96">
        <v>0</v>
      </c>
      <c r="E123" s="554">
        <f>IF(C123&gt;2,(3*D123/15),(C123*(3/2)*D123/15))</f>
        <v>0</v>
      </c>
      <c r="F123" s="555">
        <f>+D123*1/15</f>
        <v>0</v>
      </c>
      <c r="G123" s="556">
        <f>+(D123/15)*1*(C123-2)/2+(D123*1/15)</f>
        <v>0</v>
      </c>
      <c r="H123" s="232">
        <f>(+E123+F123+G123)</f>
        <v>0</v>
      </c>
      <c r="I123" s="217"/>
      <c r="J123" s="116"/>
    </row>
    <row r="124" spans="1:10" ht="21.75">
      <c r="A124" s="623"/>
      <c r="B124" s="242" t="s">
        <v>274</v>
      </c>
      <c r="C124" s="629"/>
      <c r="D124" s="629"/>
      <c r="E124" s="630"/>
      <c r="F124" s="631"/>
      <c r="G124" s="630"/>
      <c r="H124" s="269"/>
      <c r="I124" s="264"/>
      <c r="J124" s="116"/>
    </row>
    <row r="125" spans="1:10" ht="21.75">
      <c r="A125" s="25"/>
      <c r="B125" s="233" t="s">
        <v>73</v>
      </c>
      <c r="C125" s="557">
        <v>0</v>
      </c>
      <c r="D125" s="558">
        <v>0</v>
      </c>
      <c r="E125" s="567">
        <f>IF(C125&gt;5,(3*D125/15),(C125*(3/5)*D125/15))</f>
        <v>0</v>
      </c>
      <c r="F125" s="568">
        <f>+D125*1/15</f>
        <v>0</v>
      </c>
      <c r="G125" s="569">
        <f>+(D125/15)*1*(C125-5)/5+(D125*1/15)</f>
        <v>0</v>
      </c>
      <c r="H125" s="570">
        <f>+E125+F125+G125</f>
        <v>0</v>
      </c>
      <c r="I125" s="74"/>
      <c r="J125" s="116"/>
    </row>
    <row r="126" spans="1:10" ht="21.75">
      <c r="A126" s="19"/>
      <c r="B126" s="234" t="s">
        <v>74</v>
      </c>
      <c r="C126" s="562">
        <v>0</v>
      </c>
      <c r="D126" s="563">
        <v>0</v>
      </c>
      <c r="E126" s="571">
        <f>IF(C126&gt;5,(3*D126/15),(C126*(3/5)*D126/15))</f>
        <v>0</v>
      </c>
      <c r="F126" s="572">
        <f>+D126*1/15</f>
        <v>0</v>
      </c>
      <c r="G126" s="573">
        <f>+(D126/15)*1*(C126-5)/5+(D126*1/15)</f>
        <v>0</v>
      </c>
      <c r="H126" s="574">
        <f>+E126+F126+G126</f>
        <v>0</v>
      </c>
      <c r="I126" s="138"/>
      <c r="J126" s="115"/>
    </row>
    <row r="127" spans="1:10" s="204" customFormat="1" ht="21.75">
      <c r="A127" s="19"/>
      <c r="B127" s="235" t="s">
        <v>75</v>
      </c>
      <c r="C127" s="575">
        <v>0</v>
      </c>
      <c r="D127" s="576">
        <v>0</v>
      </c>
      <c r="E127" s="685">
        <f>IF(C127&gt;5,(3*D127/15),(C127*(3/5)*D127/15))</f>
        <v>0</v>
      </c>
      <c r="F127" s="686">
        <f>+D127*1/15</f>
        <v>0</v>
      </c>
      <c r="G127" s="687">
        <f>+(D127/15)*1*(C127-5)/5+(D127*1/15)</f>
        <v>0</v>
      </c>
      <c r="H127" s="688">
        <f>+E127+F127+G127</f>
        <v>0</v>
      </c>
      <c r="I127" s="217"/>
      <c r="J127" s="628"/>
    </row>
    <row r="128" spans="1:10" ht="21.75">
      <c r="A128" s="623"/>
      <c r="B128" s="23" t="s">
        <v>179</v>
      </c>
      <c r="C128" s="624"/>
      <c r="D128" s="624"/>
      <c r="E128" s="625"/>
      <c r="F128" s="626"/>
      <c r="G128" s="625"/>
      <c r="H128" s="627"/>
      <c r="I128" s="275"/>
      <c r="J128" s="116"/>
    </row>
    <row r="129" spans="1:10" ht="21.75">
      <c r="A129" s="19"/>
      <c r="B129" s="69" t="s">
        <v>76</v>
      </c>
      <c r="C129" s="557">
        <v>0</v>
      </c>
      <c r="D129" s="558">
        <v>0</v>
      </c>
      <c r="E129" s="567">
        <f>+D129*2.5/30</f>
        <v>0</v>
      </c>
      <c r="F129" s="568">
        <f>+D129*3/30</f>
        <v>0</v>
      </c>
      <c r="G129" s="569">
        <f>+(D129/30)*2*(C129-10)/10+(D129*2/30)</f>
        <v>0</v>
      </c>
      <c r="H129" s="570">
        <f>+E129+F129+G129</f>
        <v>0</v>
      </c>
      <c r="I129" s="74"/>
      <c r="J129" s="115"/>
    </row>
    <row r="130" spans="1:10" ht="21.75">
      <c r="A130" s="19"/>
      <c r="B130" s="70" t="s">
        <v>77</v>
      </c>
      <c r="C130" s="575">
        <v>0</v>
      </c>
      <c r="D130" s="576">
        <v>0</v>
      </c>
      <c r="E130" s="168">
        <f>+D130*2.5/30</f>
        <v>0</v>
      </c>
      <c r="F130" s="174">
        <f>+D130*3/30</f>
        <v>0</v>
      </c>
      <c r="G130" s="169">
        <f>+(D130/30)*2*(C130-10)/10+(D130*2/30)</f>
        <v>0</v>
      </c>
      <c r="H130" s="688">
        <f>+E130+F130+G130</f>
        <v>0</v>
      </c>
      <c r="I130" s="210"/>
      <c r="J130" s="116"/>
    </row>
    <row r="131" spans="1:10" ht="21.75">
      <c r="A131" s="19"/>
      <c r="B131" s="224" t="s">
        <v>180</v>
      </c>
      <c r="C131" s="236"/>
      <c r="D131" s="237"/>
      <c r="E131" s="154"/>
      <c r="F131" s="154"/>
      <c r="G131" s="230"/>
      <c r="H131" s="110"/>
      <c r="I131" s="74"/>
      <c r="J131" s="116"/>
    </row>
    <row r="132" spans="1:10" ht="21.75">
      <c r="A132" s="19"/>
      <c r="B132" s="69" t="s">
        <v>165</v>
      </c>
      <c r="C132" s="550">
        <v>0</v>
      </c>
      <c r="D132" s="551">
        <v>0</v>
      </c>
      <c r="E132" s="163">
        <f>IF(C132&gt;2,(3*D132/45),(C132*(3/2)*D132/45))</f>
        <v>0</v>
      </c>
      <c r="F132" s="164">
        <f>+D132*4/45</f>
        <v>0</v>
      </c>
      <c r="G132" s="167">
        <f>+(D132/45)*4*(C132-2)/2+(D132*4/45)</f>
        <v>0</v>
      </c>
      <c r="H132" s="147">
        <f>+E132+F132+G132</f>
        <v>0</v>
      </c>
      <c r="I132" s="74"/>
      <c r="J132" s="116"/>
    </row>
    <row r="133" spans="1:10" ht="21.75">
      <c r="A133" s="19"/>
      <c r="B133" s="69" t="s">
        <v>294</v>
      </c>
      <c r="C133" s="552">
        <v>0</v>
      </c>
      <c r="D133" s="553">
        <v>0</v>
      </c>
      <c r="E133" s="163">
        <f>IF(C133&gt;2,(3*D133/45),(C133*(3/2)*D133/45))</f>
        <v>0</v>
      </c>
      <c r="F133" s="164">
        <f>+D133*4/45</f>
        <v>0</v>
      </c>
      <c r="G133" s="167">
        <f>+(D133/45)*4*(C133-2)/2+(D133*4/45)</f>
        <v>0</v>
      </c>
      <c r="H133" s="147">
        <f>+E133+F133+G133</f>
        <v>0</v>
      </c>
      <c r="I133" s="74"/>
      <c r="J133" s="115"/>
    </row>
    <row r="134" spans="1:9" ht="18.75">
      <c r="A134" s="162"/>
      <c r="B134" s="588" t="s">
        <v>318</v>
      </c>
      <c r="C134" s="586"/>
      <c r="D134" s="589"/>
      <c r="E134" s="708"/>
      <c r="F134" s="708"/>
      <c r="G134" s="708"/>
      <c r="H134" s="710">
        <f>SUM(H120:H133)</f>
        <v>0</v>
      </c>
      <c r="I134" s="162"/>
    </row>
    <row r="135" spans="2:7" ht="19.5" thickBot="1">
      <c r="B135" s="711" t="s">
        <v>317</v>
      </c>
      <c r="C135" s="712">
        <f>(SUM(D120:D123)+SUM(D125:D127))/15</f>
        <v>0</v>
      </c>
      <c r="D135" s="712">
        <f>SUM(D129:D130)/30</f>
        <v>0</v>
      </c>
      <c r="E135" s="712">
        <f>SUM(D132:D133)*2/45</f>
        <v>0</v>
      </c>
      <c r="F135" s="13" t="s">
        <v>311</v>
      </c>
      <c r="G135" s="709">
        <f>C135+D135+E135</f>
        <v>0</v>
      </c>
    </row>
    <row r="136" spans="1:8" ht="19.5" thickBot="1">
      <c r="A136" s="713"/>
      <c r="B136" s="716" t="s">
        <v>319</v>
      </c>
      <c r="C136" s="714">
        <f>C72+C107+C135</f>
        <v>0</v>
      </c>
      <c r="D136" s="714">
        <f>D72+D107+D135</f>
        <v>0</v>
      </c>
      <c r="E136" s="714">
        <f>E72+E107+E135</f>
        <v>0</v>
      </c>
      <c r="F136" s="714" t="s">
        <v>320</v>
      </c>
      <c r="G136" s="717">
        <f>G72+G107+G135</f>
        <v>0</v>
      </c>
      <c r="H136" s="715"/>
    </row>
  </sheetData>
  <sheetProtection password="CC19" sheet="1" formatCells="0" formatColumns="0" formatRows="0" insertRows="0"/>
  <mergeCells count="7">
    <mergeCell ref="E116:G116"/>
    <mergeCell ref="A2:G2"/>
    <mergeCell ref="E5:G5"/>
    <mergeCell ref="E74:G74"/>
    <mergeCell ref="E52:G52"/>
    <mergeCell ref="E108:G108"/>
    <mergeCell ref="E99:G99"/>
  </mergeCells>
  <printOptions/>
  <pageMargins left="0.27" right="0.16" top="0.287401575" bottom="0" header="0.31496062992126" footer="0.31496062992126"/>
  <pageSetup horizontalDpi="600" verticalDpi="600" orientation="portrait" paperSize="9" r:id="rId4"/>
  <headerFooter alignWithMargins="0">
    <oddFooter>&amp;C&amp;12 2</oddFooter>
  </headerFooter>
  <rowBreaks count="1" manualBreakCount="1">
    <brk id="9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7" sqref="C7"/>
    </sheetView>
  </sheetViews>
  <sheetFormatPr defaultColWidth="9.140625" defaultRowHeight="21.75"/>
  <cols>
    <col min="1" max="1" width="5.57421875" style="0" customWidth="1"/>
    <col min="2" max="2" width="38.140625" style="0" customWidth="1"/>
    <col min="3" max="3" width="8.8515625" style="0" customWidth="1"/>
    <col min="4" max="4" width="7.421875" style="0" customWidth="1"/>
    <col min="5" max="5" width="10.140625" style="0" customWidth="1"/>
    <col min="6" max="6" width="25.421875" style="0" customWidth="1"/>
  </cols>
  <sheetData>
    <row r="1" spans="1:6" s="204" customFormat="1" ht="15.75" customHeight="1">
      <c r="A1" s="278"/>
      <c r="B1" s="185" t="s">
        <v>0</v>
      </c>
      <c r="C1" s="185" t="s">
        <v>9</v>
      </c>
      <c r="D1" s="185" t="s">
        <v>79</v>
      </c>
      <c r="E1" s="279" t="s">
        <v>3</v>
      </c>
      <c r="F1" s="280" t="s">
        <v>281</v>
      </c>
    </row>
    <row r="2" spans="1:6" s="204" customFormat="1" ht="15.75" customHeight="1">
      <c r="A2" s="247"/>
      <c r="B2" s="41"/>
      <c r="C2" s="44"/>
      <c r="D2" s="44"/>
      <c r="E2" s="245" t="s">
        <v>85</v>
      </c>
      <c r="F2" s="45"/>
    </row>
    <row r="3" spans="1:6" s="204" customFormat="1" ht="15.75" customHeight="1">
      <c r="A3" s="24"/>
      <c r="B3" s="240" t="s">
        <v>182</v>
      </c>
      <c r="C3" s="238"/>
      <c r="D3" s="241"/>
      <c r="E3" s="239"/>
      <c r="F3" s="43"/>
    </row>
    <row r="4" spans="1:6" s="204" customFormat="1" ht="18" customHeight="1">
      <c r="A4" s="248">
        <v>1.5</v>
      </c>
      <c r="B4" s="23" t="s">
        <v>80</v>
      </c>
      <c r="C4" s="745" t="s">
        <v>3</v>
      </c>
      <c r="D4" s="746">
        <f>D6+D11+D17+D22</f>
        <v>0</v>
      </c>
      <c r="E4" s="747">
        <f>IF(D4&lt;31,D4,30)</f>
        <v>0</v>
      </c>
      <c r="F4" s="98" t="s">
        <v>41</v>
      </c>
    </row>
    <row r="5" spans="1:6" s="204" customFormat="1" ht="15" customHeight="1">
      <c r="A5" s="248"/>
      <c r="B5" s="23" t="s">
        <v>81</v>
      </c>
      <c r="C5" s="248"/>
      <c r="D5" s="249"/>
      <c r="E5" s="244" t="s">
        <v>2</v>
      </c>
      <c r="F5" s="250" t="s">
        <v>64</v>
      </c>
    </row>
    <row r="6" spans="1:6" s="204" customFormat="1" ht="18" customHeight="1">
      <c r="A6" s="248"/>
      <c r="B6" s="23" t="s">
        <v>183</v>
      </c>
      <c r="C6" s="248"/>
      <c r="D6" s="749">
        <f>SUM(D7:D9)</f>
        <v>0</v>
      </c>
      <c r="E6" s="244" t="s">
        <v>2</v>
      </c>
      <c r="F6" s="250"/>
    </row>
    <row r="7" spans="1:6" s="204" customFormat="1" ht="15.75" customHeight="1">
      <c r="A7" s="248"/>
      <c r="B7" s="251" t="s">
        <v>184</v>
      </c>
      <c r="C7" s="252">
        <v>0</v>
      </c>
      <c r="D7" s="735">
        <f>C7*3</f>
        <v>0</v>
      </c>
      <c r="E7" s="244" t="s">
        <v>2</v>
      </c>
      <c r="F7" s="736" t="s">
        <v>78</v>
      </c>
    </row>
    <row r="8" spans="1:6" s="204" customFormat="1" ht="15.75" customHeight="1">
      <c r="A8" s="248"/>
      <c r="B8" s="251"/>
      <c r="C8" s="252"/>
      <c r="D8" s="253"/>
      <c r="E8" s="244"/>
      <c r="F8" s="250"/>
    </row>
    <row r="9" spans="1:6" s="204" customFormat="1" ht="15.75" customHeight="1">
      <c r="A9" s="248"/>
      <c r="B9" s="251" t="s">
        <v>185</v>
      </c>
      <c r="C9" s="254">
        <v>0</v>
      </c>
      <c r="D9" s="735">
        <f>C9*3</f>
        <v>0</v>
      </c>
      <c r="E9" s="244" t="s">
        <v>2</v>
      </c>
      <c r="F9" s="250"/>
    </row>
    <row r="10" spans="1:6" s="204" customFormat="1" ht="15.75" customHeight="1">
      <c r="A10" s="493"/>
      <c r="B10" s="494"/>
      <c r="C10" s="495"/>
      <c r="D10" s="496"/>
      <c r="E10" s="497"/>
      <c r="F10" s="498"/>
    </row>
    <row r="11" spans="1:6" s="204" customFormat="1" ht="15.75" customHeight="1">
      <c r="A11" s="24"/>
      <c r="B11" s="242" t="s">
        <v>186</v>
      </c>
      <c r="C11" s="259"/>
      <c r="D11" s="748">
        <f>SUM(D12:D15)</f>
        <v>0</v>
      </c>
      <c r="E11" s="244" t="s">
        <v>2</v>
      </c>
      <c r="F11" s="250"/>
    </row>
    <row r="12" spans="1:6" s="204" customFormat="1" ht="15.75" customHeight="1">
      <c r="A12" s="24"/>
      <c r="B12" s="251" t="s">
        <v>184</v>
      </c>
      <c r="C12" s="252">
        <v>0</v>
      </c>
      <c r="D12" s="260">
        <f>C12</f>
        <v>0</v>
      </c>
      <c r="E12" s="244" t="s">
        <v>2</v>
      </c>
      <c r="F12" s="736" t="s">
        <v>78</v>
      </c>
    </row>
    <row r="13" spans="1:6" s="204" customFormat="1" ht="15.75" customHeight="1">
      <c r="A13" s="24"/>
      <c r="B13" s="251"/>
      <c r="C13" s="254"/>
      <c r="D13" s="260"/>
      <c r="E13" s="244"/>
      <c r="F13" s="250"/>
    </row>
    <row r="14" spans="1:6" s="204" customFormat="1" ht="15.75" customHeight="1">
      <c r="A14" s="24"/>
      <c r="B14" s="251" t="s">
        <v>185</v>
      </c>
      <c r="C14" s="254">
        <v>0</v>
      </c>
      <c r="D14" s="260">
        <f>C14</f>
        <v>0</v>
      </c>
      <c r="E14" s="244" t="s">
        <v>2</v>
      </c>
      <c r="F14" s="250"/>
    </row>
    <row r="15" spans="1:6" s="204" customFormat="1" ht="15.75" customHeight="1">
      <c r="A15" s="247"/>
      <c r="B15" s="256"/>
      <c r="C15" s="499"/>
      <c r="D15" s="261"/>
      <c r="E15" s="257"/>
      <c r="F15" s="258"/>
    </row>
    <row r="16" spans="1:6" s="204" customFormat="1" ht="15.75" customHeight="1">
      <c r="A16" s="24"/>
      <c r="B16" s="243" t="s">
        <v>82</v>
      </c>
      <c r="C16" s="262"/>
      <c r="D16" s="263"/>
      <c r="E16" s="264"/>
      <c r="F16" s="736" t="s">
        <v>64</v>
      </c>
    </row>
    <row r="17" spans="1:6" s="204" customFormat="1" ht="15.75" customHeight="1">
      <c r="A17" s="24"/>
      <c r="B17" s="243" t="s">
        <v>189</v>
      </c>
      <c r="C17" s="262"/>
      <c r="D17" s="749">
        <f>SUM(D18:D21)</f>
        <v>0</v>
      </c>
      <c r="E17" s="264"/>
      <c r="F17" s="736" t="s">
        <v>59</v>
      </c>
    </row>
    <row r="18" spans="1:6" s="204" customFormat="1" ht="15.75" customHeight="1">
      <c r="A18" s="24"/>
      <c r="B18" s="251" t="s">
        <v>300</v>
      </c>
      <c r="C18" s="265">
        <v>0</v>
      </c>
      <c r="D18" s="253">
        <f>C18*3</f>
        <v>0</v>
      </c>
      <c r="E18" s="266" t="s">
        <v>2</v>
      </c>
      <c r="F18" s="250"/>
    </row>
    <row r="19" spans="1:6" s="204" customFormat="1" ht="15.75" customHeight="1">
      <c r="A19" s="24"/>
      <c r="B19" s="251" t="s">
        <v>187</v>
      </c>
      <c r="C19" s="254">
        <v>0</v>
      </c>
      <c r="D19" s="253">
        <f>C19*3</f>
        <v>0</v>
      </c>
      <c r="E19" s="266" t="s">
        <v>2</v>
      </c>
      <c r="F19" s="250"/>
    </row>
    <row r="20" spans="1:6" s="204" customFormat="1" ht="15.75" customHeight="1">
      <c r="A20" s="24"/>
      <c r="B20" s="251" t="s">
        <v>299</v>
      </c>
      <c r="C20" s="254">
        <v>0</v>
      </c>
      <c r="D20" s="253">
        <f>C20*3</f>
        <v>0</v>
      </c>
      <c r="E20" s="266" t="s">
        <v>2</v>
      </c>
      <c r="F20" s="250"/>
    </row>
    <row r="21" spans="1:6" s="204" customFormat="1" ht="15.75" customHeight="1">
      <c r="A21" s="24"/>
      <c r="B21" s="494" t="s">
        <v>301</v>
      </c>
      <c r="C21" s="500">
        <v>0</v>
      </c>
      <c r="D21" s="253">
        <f>C21*3</f>
        <v>0</v>
      </c>
      <c r="E21" s="501" t="s">
        <v>2</v>
      </c>
      <c r="F21" s="498"/>
    </row>
    <row r="22" spans="1:6" s="204" customFormat="1" ht="15.75" customHeight="1">
      <c r="A22" s="248"/>
      <c r="B22" s="242" t="s">
        <v>212</v>
      </c>
      <c r="C22" s="268"/>
      <c r="D22" s="748">
        <f>SUM(D23:D26)</f>
        <v>0</v>
      </c>
      <c r="E22" s="269"/>
      <c r="F22" s="729" t="s">
        <v>41</v>
      </c>
    </row>
    <row r="23" spans="1:6" s="204" customFormat="1" ht="15.75" customHeight="1">
      <c r="A23" s="248"/>
      <c r="B23" s="251" t="s">
        <v>300</v>
      </c>
      <c r="C23" s="265">
        <v>0</v>
      </c>
      <c r="D23" s="260">
        <f>C23</f>
        <v>0</v>
      </c>
      <c r="E23" s="266" t="s">
        <v>2</v>
      </c>
      <c r="F23" s="736" t="s">
        <v>64</v>
      </c>
    </row>
    <row r="24" spans="1:6" s="204" customFormat="1" ht="15.75" customHeight="1">
      <c r="A24" s="248"/>
      <c r="B24" s="251" t="s">
        <v>187</v>
      </c>
      <c r="C24" s="254">
        <v>0</v>
      </c>
      <c r="D24" s="260">
        <f>C24</f>
        <v>0</v>
      </c>
      <c r="E24" s="266" t="s">
        <v>2</v>
      </c>
      <c r="F24" s="250"/>
    </row>
    <row r="25" spans="1:6" s="204" customFormat="1" ht="15.75" customHeight="1">
      <c r="A25" s="248"/>
      <c r="B25" s="251" t="s">
        <v>188</v>
      </c>
      <c r="C25" s="254">
        <v>0</v>
      </c>
      <c r="D25" s="260">
        <f>C25</f>
        <v>0</v>
      </c>
      <c r="E25" s="266" t="s">
        <v>2</v>
      </c>
      <c r="F25" s="250"/>
    </row>
    <row r="26" spans="1:6" s="204" customFormat="1" ht="15.75" customHeight="1">
      <c r="A26" s="247"/>
      <c r="B26" s="256" t="s">
        <v>302</v>
      </c>
      <c r="C26" s="502">
        <v>0</v>
      </c>
      <c r="D26" s="261">
        <f>C26</f>
        <v>0</v>
      </c>
      <c r="E26" s="503" t="s">
        <v>2</v>
      </c>
      <c r="F26" s="258"/>
    </row>
    <row r="27" spans="1:6" s="204" customFormat="1" ht="15.75" customHeight="1">
      <c r="A27" s="248">
        <v>1.6</v>
      </c>
      <c r="B27" s="23" t="s">
        <v>190</v>
      </c>
      <c r="C27" s="248"/>
      <c r="D27" s="249"/>
      <c r="E27" s="264"/>
      <c r="F27" s="275"/>
    </row>
    <row r="28" spans="1:6" s="204" customFormat="1" ht="15.75" customHeight="1">
      <c r="A28" s="248"/>
      <c r="B28" s="99" t="s">
        <v>83</v>
      </c>
      <c r="C28" s="270">
        <v>0</v>
      </c>
      <c r="D28" s="271">
        <f>C28*0.5</f>
        <v>0</v>
      </c>
      <c r="E28" s="269">
        <f>D28</f>
        <v>0</v>
      </c>
      <c r="F28" s="111"/>
    </row>
    <row r="29" spans="1:6" s="204" customFormat="1" ht="15.75" customHeight="1">
      <c r="A29" s="255"/>
      <c r="B29" s="267"/>
      <c r="C29" s="272" t="s">
        <v>2</v>
      </c>
      <c r="D29" s="273" t="s">
        <v>2</v>
      </c>
      <c r="E29" s="274">
        <v>0</v>
      </c>
      <c r="F29" s="155"/>
    </row>
    <row r="30" spans="1:6" s="204" customFormat="1" ht="15.75" customHeight="1">
      <c r="A30" s="24"/>
      <c r="B30" s="23" t="s">
        <v>191</v>
      </c>
      <c r="C30" s="248"/>
      <c r="D30" s="249"/>
      <c r="E30" s="264"/>
      <c r="F30" s="275"/>
    </row>
    <row r="31" spans="1:6" s="204" customFormat="1" ht="15.75" customHeight="1">
      <c r="A31" s="24"/>
      <c r="B31" s="99" t="s">
        <v>166</v>
      </c>
      <c r="C31" s="270">
        <v>0</v>
      </c>
      <c r="D31" s="271">
        <f>C31*1</f>
        <v>0</v>
      </c>
      <c r="E31" s="269">
        <f>D31</f>
        <v>0</v>
      </c>
      <c r="F31" s="98" t="s">
        <v>84</v>
      </c>
    </row>
    <row r="32" spans="1:6" s="204" customFormat="1" ht="15.75" customHeight="1">
      <c r="A32" s="24"/>
      <c r="B32" s="181"/>
      <c r="C32" s="272" t="s">
        <v>2</v>
      </c>
      <c r="D32" s="273" t="s">
        <v>2</v>
      </c>
      <c r="E32" s="273" t="s">
        <v>2</v>
      </c>
      <c r="F32" s="155"/>
    </row>
    <row r="33" spans="1:6" s="204" customFormat="1" ht="15.75" customHeight="1">
      <c r="A33" s="24"/>
      <c r="B33" s="246" t="s">
        <v>87</v>
      </c>
      <c r="C33" s="42" t="s">
        <v>9</v>
      </c>
      <c r="D33" s="241" t="s">
        <v>86</v>
      </c>
      <c r="E33" s="269"/>
      <c r="F33" s="729" t="s">
        <v>42</v>
      </c>
    </row>
    <row r="34" spans="1:6" s="204" customFormat="1" ht="20.25" customHeight="1">
      <c r="A34" s="24"/>
      <c r="B34" s="739" t="s">
        <v>192</v>
      </c>
      <c r="C34" s="737">
        <v>0</v>
      </c>
      <c r="D34" s="740">
        <v>1</v>
      </c>
      <c r="E34" s="738">
        <f>C34*1/D34</f>
        <v>0</v>
      </c>
      <c r="F34" s="729" t="s">
        <v>58</v>
      </c>
    </row>
    <row r="35" spans="1:6" s="204" customFormat="1" ht="20.25" customHeight="1">
      <c r="A35" s="247"/>
      <c r="B35" s="744"/>
      <c r="C35" s="742" t="s">
        <v>2</v>
      </c>
      <c r="D35" s="741" t="s">
        <v>2</v>
      </c>
      <c r="E35" s="743" t="s">
        <v>2</v>
      </c>
      <c r="F35" s="155"/>
    </row>
    <row r="36" spans="1:6" s="204" customFormat="1" ht="15.75" customHeight="1">
      <c r="A36" s="247"/>
      <c r="B36" s="281" t="s">
        <v>35</v>
      </c>
      <c r="C36" s="282" t="s">
        <v>2</v>
      </c>
      <c r="D36" s="504" t="s">
        <v>2</v>
      </c>
      <c r="E36" s="276">
        <f>E4+E28+E31+E34</f>
        <v>0</v>
      </c>
      <c r="F36" s="277"/>
    </row>
  </sheetData>
  <sheetProtection password="CC19" sheet="1" formatCells="0" formatColumns="0" formatRows="0"/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Normal="120" zoomScaleSheetLayoutView="110" zoomScalePageLayoutView="0" workbookViewId="0" topLeftCell="A1">
      <selection activeCell="B5" sqref="B5"/>
    </sheetView>
  </sheetViews>
  <sheetFormatPr defaultColWidth="9.140625" defaultRowHeight="21.75"/>
  <cols>
    <col min="1" max="1" width="3.57421875" style="1" customWidth="1"/>
    <col min="2" max="2" width="63.8515625" style="1" customWidth="1"/>
    <col min="3" max="3" width="9.00390625" style="52" customWidth="1"/>
    <col min="4" max="4" width="7.7109375" style="52" customWidth="1"/>
    <col min="5" max="5" width="8.57421875" style="52" customWidth="1"/>
    <col min="6" max="6" width="5.7109375" style="194" customWidth="1"/>
    <col min="7" max="7" width="6.140625" style="1" customWidth="1"/>
    <col min="8" max="8" width="5.8515625" style="1" customWidth="1"/>
    <col min="9" max="9" width="6.421875" style="1" customWidth="1"/>
    <col min="10" max="10" width="5.421875" style="1" customWidth="1"/>
    <col min="11" max="11" width="6.57421875" style="52" customWidth="1"/>
    <col min="12" max="12" width="11.140625" style="1" customWidth="1"/>
    <col min="13" max="16384" width="9.140625" style="1" customWidth="1"/>
  </cols>
  <sheetData>
    <row r="1" spans="1:12" ht="14.25" customHeight="1">
      <c r="A1" s="10"/>
      <c r="B1" s="10"/>
      <c r="C1" s="63"/>
      <c r="D1" s="63"/>
      <c r="E1" s="63"/>
      <c r="F1" s="470"/>
      <c r="G1" s="10"/>
      <c r="H1" s="10"/>
      <c r="I1" s="10"/>
      <c r="J1" s="10"/>
      <c r="K1" s="63"/>
      <c r="L1" s="10" t="s">
        <v>279</v>
      </c>
    </row>
    <row r="2" spans="1:12" ht="22.5" customHeight="1">
      <c r="A2" s="291">
        <v>2</v>
      </c>
      <c r="B2" s="292" t="s">
        <v>369</v>
      </c>
      <c r="C2" s="293" t="s">
        <v>92</v>
      </c>
      <c r="D2" s="946" t="s">
        <v>89</v>
      </c>
      <c r="E2" s="947"/>
      <c r="F2" s="948" t="s">
        <v>94</v>
      </c>
      <c r="G2" s="949"/>
      <c r="H2" s="949"/>
      <c r="I2" s="949"/>
      <c r="J2" s="950"/>
      <c r="K2" s="294" t="s">
        <v>105</v>
      </c>
      <c r="L2" s="294" t="s">
        <v>96</v>
      </c>
    </row>
    <row r="3" spans="1:12" ht="22.5" customHeight="1">
      <c r="A3" s="295"/>
      <c r="B3" s="446" t="s">
        <v>134</v>
      </c>
      <c r="C3" s="297" t="s">
        <v>93</v>
      </c>
      <c r="D3" s="297" t="s">
        <v>90</v>
      </c>
      <c r="E3" s="297" t="s">
        <v>91</v>
      </c>
      <c r="F3" s="298" t="s">
        <v>97</v>
      </c>
      <c r="G3" s="299" t="s">
        <v>98</v>
      </c>
      <c r="H3" s="300" t="s">
        <v>99</v>
      </c>
      <c r="I3" s="283" t="s">
        <v>95</v>
      </c>
      <c r="J3" s="283" t="s">
        <v>88</v>
      </c>
      <c r="K3" s="301" t="s">
        <v>106</v>
      </c>
      <c r="L3" s="301" t="s">
        <v>327</v>
      </c>
    </row>
    <row r="4" spans="1:12" ht="22.5" customHeight="1">
      <c r="A4" s="295"/>
      <c r="B4" s="446" t="s">
        <v>390</v>
      </c>
      <c r="C4" s="296" t="s">
        <v>389</v>
      </c>
      <c r="D4" s="420"/>
      <c r="E4" s="420"/>
      <c r="F4" s="443"/>
      <c r="G4" s="328"/>
      <c r="H4" s="328"/>
      <c r="I4" s="215"/>
      <c r="J4" s="215"/>
      <c r="K4" s="444"/>
      <c r="L4" s="445" t="s">
        <v>328</v>
      </c>
    </row>
    <row r="5" spans="1:12" ht="20.25" customHeight="1">
      <c r="A5" s="285"/>
      <c r="B5" s="352">
        <v>1</v>
      </c>
      <c r="C5" s="321" t="s">
        <v>2</v>
      </c>
      <c r="D5" s="312"/>
      <c r="E5" s="313"/>
      <c r="F5" s="314">
        <v>0</v>
      </c>
      <c r="G5" s="314">
        <v>0</v>
      </c>
      <c r="H5" s="314">
        <v>0</v>
      </c>
      <c r="I5" s="315">
        <v>0</v>
      </c>
      <c r="J5" s="314">
        <v>0</v>
      </c>
      <c r="K5" s="482" t="str">
        <f>IF((F5+G5+H5+I5+J5)&gt;1,"ผิด","ถูก")</f>
        <v>ถูก</v>
      </c>
      <c r="L5" s="316">
        <v>0</v>
      </c>
    </row>
    <row r="6" spans="1:12" ht="20.25" customHeight="1">
      <c r="A6" s="285"/>
      <c r="B6" s="352"/>
      <c r="C6" s="322"/>
      <c r="D6" s="317"/>
      <c r="E6" s="318"/>
      <c r="F6" s="319">
        <f>IF(F5=1,16,0)</f>
        <v>0</v>
      </c>
      <c r="G6" s="319">
        <f>IF(G5=1,6,0)</f>
        <v>0</v>
      </c>
      <c r="H6" s="319">
        <f>IF(H5=1,3,0)</f>
        <v>0</v>
      </c>
      <c r="I6" s="319">
        <f>IF(I5=1,3,0)</f>
        <v>0</v>
      </c>
      <c r="J6" s="319">
        <f>IF(J5=1,3,0)</f>
        <v>0</v>
      </c>
      <c r="K6" s="367">
        <f>SUM(F6:J6)</f>
        <v>0</v>
      </c>
      <c r="L6" s="320"/>
    </row>
    <row r="7" spans="1:12" ht="20.25" customHeight="1">
      <c r="A7" s="285"/>
      <c r="B7" s="353"/>
      <c r="C7" s="323"/>
      <c r="D7" s="307"/>
      <c r="E7" s="308"/>
      <c r="F7" s="309"/>
      <c r="G7" s="311"/>
      <c r="H7" s="311"/>
      <c r="I7" s="309"/>
      <c r="J7" s="311"/>
      <c r="K7" s="368"/>
      <c r="L7" s="310"/>
    </row>
    <row r="8" spans="1:12" ht="20.25" customHeight="1">
      <c r="A8" s="285"/>
      <c r="B8" s="352">
        <v>2</v>
      </c>
      <c r="C8" s="321">
        <v>0</v>
      </c>
      <c r="D8" s="312"/>
      <c r="E8" s="313"/>
      <c r="F8" s="314">
        <v>0</v>
      </c>
      <c r="G8" s="314">
        <v>0</v>
      </c>
      <c r="H8" s="314">
        <v>0</v>
      </c>
      <c r="I8" s="315">
        <v>0</v>
      </c>
      <c r="J8" s="314">
        <v>0</v>
      </c>
      <c r="K8" s="482" t="str">
        <f>IF((F8+G8+H8+I8+J8)&gt;1,"ผิด","ถูก")</f>
        <v>ถูก</v>
      </c>
      <c r="L8" s="316">
        <v>0</v>
      </c>
    </row>
    <row r="9" spans="1:12" ht="20.25" customHeight="1">
      <c r="A9" s="285"/>
      <c r="B9" s="352"/>
      <c r="C9" s="350"/>
      <c r="D9" s="340"/>
      <c r="E9" s="341"/>
      <c r="F9" s="342">
        <f>IF(F8=1,16,0)</f>
        <v>0</v>
      </c>
      <c r="G9" s="342">
        <f>IF(G8=1,6,0)</f>
        <v>0</v>
      </c>
      <c r="H9" s="342">
        <f>IF(H8=1,3,0)</f>
        <v>0</v>
      </c>
      <c r="I9" s="342">
        <f>IF(I8=1,3,0)</f>
        <v>0</v>
      </c>
      <c r="J9" s="342">
        <f>IF(J8=1,3,0)</f>
        <v>0</v>
      </c>
      <c r="K9" s="369">
        <f>SUM(F9:J9)</f>
        <v>0</v>
      </c>
      <c r="L9" s="343"/>
    </row>
    <row r="10" spans="1:12" ht="20.25" customHeight="1">
      <c r="A10" s="285"/>
      <c r="B10" s="353"/>
      <c r="C10" s="351"/>
      <c r="D10" s="345"/>
      <c r="E10" s="346"/>
      <c r="F10" s="347"/>
      <c r="G10" s="348"/>
      <c r="H10" s="348"/>
      <c r="I10" s="347"/>
      <c r="J10" s="348"/>
      <c r="K10" s="370"/>
      <c r="L10" s="349"/>
    </row>
    <row r="11" spans="1:12" ht="20.25" customHeight="1">
      <c r="A11" s="285"/>
      <c r="B11" s="352">
        <v>3</v>
      </c>
      <c r="C11" s="321">
        <v>0</v>
      </c>
      <c r="D11" s="312"/>
      <c r="E11" s="313"/>
      <c r="F11" s="314">
        <v>0</v>
      </c>
      <c r="G11" s="314">
        <v>0</v>
      </c>
      <c r="H11" s="314">
        <v>0</v>
      </c>
      <c r="I11" s="315">
        <v>0</v>
      </c>
      <c r="J11" s="314">
        <v>0</v>
      </c>
      <c r="K11" s="482" t="str">
        <f>IF((F11+G11+H11+I11+J11)&gt;1,"ผิด","ถูก")</f>
        <v>ถูก</v>
      </c>
      <c r="L11" s="316">
        <v>0</v>
      </c>
    </row>
    <row r="12" spans="1:12" ht="20.25" customHeight="1">
      <c r="A12" s="285"/>
      <c r="B12" s="352"/>
      <c r="C12" s="339"/>
      <c r="D12" s="340"/>
      <c r="E12" s="341"/>
      <c r="F12" s="342">
        <f>IF(F11=1,16,0)</f>
        <v>0</v>
      </c>
      <c r="G12" s="342">
        <f>IF(G11=1,6,0)</f>
        <v>0</v>
      </c>
      <c r="H12" s="342">
        <f>IF(H11=1,3,0)</f>
        <v>0</v>
      </c>
      <c r="I12" s="342">
        <f>IF(I11=1,3,0)</f>
        <v>0</v>
      </c>
      <c r="J12" s="342">
        <f>IF(J11=1,3,0)</f>
        <v>0</v>
      </c>
      <c r="K12" s="369">
        <f>SUM(F12:J12)</f>
        <v>0</v>
      </c>
      <c r="L12" s="343"/>
    </row>
    <row r="13" spans="1:12" ht="20.25" customHeight="1">
      <c r="A13" s="285"/>
      <c r="B13" s="353"/>
      <c r="C13" s="344"/>
      <c r="D13" s="345"/>
      <c r="E13" s="346"/>
      <c r="F13" s="347"/>
      <c r="G13" s="348"/>
      <c r="H13" s="348"/>
      <c r="I13" s="347"/>
      <c r="J13" s="348"/>
      <c r="K13" s="370"/>
      <c r="L13" s="349"/>
    </row>
    <row r="14" spans="1:12" ht="20.25" customHeight="1">
      <c r="A14" s="285"/>
      <c r="B14" s="352">
        <v>4</v>
      </c>
      <c r="C14" s="321">
        <v>0</v>
      </c>
      <c r="D14" s="312"/>
      <c r="E14" s="313"/>
      <c r="F14" s="314">
        <v>0</v>
      </c>
      <c r="G14" s="314">
        <v>0</v>
      </c>
      <c r="H14" s="314">
        <v>0</v>
      </c>
      <c r="I14" s="315">
        <v>0</v>
      </c>
      <c r="J14" s="314">
        <v>0</v>
      </c>
      <c r="K14" s="482" t="str">
        <f>IF((F14+G14+H14+I14+J14)&gt;1,"ผิด","ถูก")</f>
        <v>ถูก</v>
      </c>
      <c r="L14" s="156">
        <v>0</v>
      </c>
    </row>
    <row r="15" spans="1:12" ht="20.25" customHeight="1">
      <c r="A15" s="285"/>
      <c r="B15" s="352"/>
      <c r="C15" s="339"/>
      <c r="D15" s="340"/>
      <c r="E15" s="341"/>
      <c r="F15" s="342">
        <f>IF(F14=1,16,0)</f>
        <v>0</v>
      </c>
      <c r="G15" s="342">
        <f>IF(G14=1,6,0)</f>
        <v>0</v>
      </c>
      <c r="H15" s="342">
        <f>IF(H14=1,3,0)</f>
        <v>0</v>
      </c>
      <c r="I15" s="342">
        <f>IF(I14=1,3,0)</f>
        <v>0</v>
      </c>
      <c r="J15" s="342">
        <f>IF(J14=1,3,0)</f>
        <v>0</v>
      </c>
      <c r="K15" s="369">
        <f>SUM(F15:J15)</f>
        <v>0</v>
      </c>
      <c r="L15" s="343"/>
    </row>
    <row r="16" spans="1:12" ht="20.25" customHeight="1">
      <c r="A16" s="285"/>
      <c r="B16" s="353"/>
      <c r="C16" s="344"/>
      <c r="D16" s="345"/>
      <c r="E16" s="346"/>
      <c r="F16" s="347"/>
      <c r="G16" s="348"/>
      <c r="H16" s="348"/>
      <c r="I16" s="347"/>
      <c r="J16" s="348"/>
      <c r="K16" s="370"/>
      <c r="L16" s="349"/>
    </row>
    <row r="17" spans="1:12" ht="18" customHeight="1">
      <c r="A17" s="286"/>
      <c r="B17" s="302" t="s">
        <v>108</v>
      </c>
      <c r="C17" s="287"/>
      <c r="D17" s="288"/>
      <c r="E17" s="289"/>
      <c r="F17" s="305"/>
      <c r="G17" s="306"/>
      <c r="H17" s="306"/>
      <c r="I17" s="305"/>
      <c r="J17" s="306"/>
      <c r="K17" s="371"/>
      <c r="L17" s="290"/>
    </row>
    <row r="18" spans="1:12" ht="19.5" customHeight="1">
      <c r="A18" s="354"/>
      <c r="B18" s="334" t="s">
        <v>100</v>
      </c>
      <c r="C18" s="391"/>
      <c r="D18" s="334" t="s">
        <v>115</v>
      </c>
      <c r="E18" s="951" t="s">
        <v>103</v>
      </c>
      <c r="F18" s="952"/>
      <c r="G18" s="334" t="s">
        <v>107</v>
      </c>
      <c r="H18" s="389" t="s">
        <v>104</v>
      </c>
      <c r="I18" s="390"/>
      <c r="J18" s="953" t="s">
        <v>4</v>
      </c>
      <c r="K18" s="954"/>
      <c r="L18" s="955"/>
    </row>
    <row r="19" spans="1:12" ht="19.5" customHeight="1">
      <c r="A19" s="689"/>
      <c r="B19" s="366" t="s">
        <v>172</v>
      </c>
      <c r="C19" s="392"/>
      <c r="D19" s="335" t="s">
        <v>116</v>
      </c>
      <c r="E19" s="336" t="s">
        <v>101</v>
      </c>
      <c r="F19" s="303" t="s">
        <v>102</v>
      </c>
      <c r="G19" s="335" t="s">
        <v>63</v>
      </c>
      <c r="H19" s="335"/>
      <c r="I19" s="333"/>
      <c r="J19" s="956"/>
      <c r="K19" s="957"/>
      <c r="L19" s="958"/>
    </row>
    <row r="20" spans="1:12" ht="20.25" customHeight="1">
      <c r="A20" s="355">
        <v>2</v>
      </c>
      <c r="B20" s="30" t="s">
        <v>109</v>
      </c>
      <c r="C20" s="393"/>
      <c r="D20" s="324"/>
      <c r="E20" s="324"/>
      <c r="F20" s="188"/>
      <c r="G20" s="324"/>
      <c r="H20" s="325"/>
      <c r="I20" s="327"/>
      <c r="J20" s="13"/>
      <c r="K20" s="372"/>
      <c r="L20" s="356"/>
    </row>
    <row r="21" spans="1:12" ht="20.25" customHeight="1">
      <c r="A21" s="357"/>
      <c r="B21" s="463">
        <f>B5</f>
        <v>1</v>
      </c>
      <c r="C21" s="394"/>
      <c r="D21" s="396">
        <f>IF(C5=0,0,IF(C5&lt;200001,4,IF(C5&lt;500000,8,12)))</f>
        <v>12</v>
      </c>
      <c r="E21" s="329">
        <f>D21*G21/100</f>
        <v>0</v>
      </c>
      <c r="F21" s="189">
        <f>K6*G21/100</f>
        <v>0</v>
      </c>
      <c r="G21" s="328">
        <f>L5</f>
        <v>0</v>
      </c>
      <c r="H21" s="326"/>
      <c r="I21" s="771">
        <f>IF(F21&gt;E21,F21,E21)</f>
        <v>0</v>
      </c>
      <c r="J21" s="358"/>
      <c r="K21" s="373"/>
      <c r="L21" s="359"/>
    </row>
    <row r="22" spans="1:12" ht="20.25" customHeight="1">
      <c r="A22" s="357"/>
      <c r="B22" s="463">
        <f>B8</f>
        <v>2</v>
      </c>
      <c r="C22" s="394"/>
      <c r="D22" s="396">
        <f>IF(C8=0,0,IF(C8&lt;200001,4,IF(C8&lt;500000,8,12)))</f>
        <v>0</v>
      </c>
      <c r="E22" s="329">
        <f>D22*G22/100</f>
        <v>0</v>
      </c>
      <c r="F22" s="189">
        <f>K9*G22/100</f>
        <v>0</v>
      </c>
      <c r="G22" s="328">
        <f>L8</f>
        <v>0</v>
      </c>
      <c r="H22" s="326"/>
      <c r="I22" s="771">
        <f>IF(F22&gt;E22,F22,E22)</f>
        <v>0</v>
      </c>
      <c r="J22" s="358"/>
      <c r="K22" s="373"/>
      <c r="L22" s="359"/>
    </row>
    <row r="23" spans="1:12" ht="20.25" customHeight="1">
      <c r="A23" s="357"/>
      <c r="B23" s="463">
        <f>B11</f>
        <v>3</v>
      </c>
      <c r="C23" s="394"/>
      <c r="D23" s="396">
        <f>IF(C11=0,0,IF(C11&lt;200001,4,IF(C11&lt;500000,8,12)))</f>
        <v>0</v>
      </c>
      <c r="E23" s="329">
        <f>D23*G23/100</f>
        <v>0</v>
      </c>
      <c r="F23" s="189">
        <f>K12*G23/100</f>
        <v>0</v>
      </c>
      <c r="G23" s="328">
        <f>L11</f>
        <v>0</v>
      </c>
      <c r="H23" s="326"/>
      <c r="I23" s="771">
        <f>IF(F23&gt;E23,F23,E23)</f>
        <v>0</v>
      </c>
      <c r="J23" s="358"/>
      <c r="K23" s="373"/>
      <c r="L23" s="359"/>
    </row>
    <row r="24" spans="1:12" ht="17.25" customHeight="1" thickBot="1">
      <c r="A24" s="360"/>
      <c r="B24" s="464">
        <f>B14</f>
        <v>4</v>
      </c>
      <c r="C24" s="395"/>
      <c r="D24" s="397">
        <f>IF(C14=0,0,IF(C14&lt;200001,4,IF(C14&lt;500000,8,12)))</f>
        <v>0</v>
      </c>
      <c r="E24" s="331">
        <f>D24*G24/100</f>
        <v>0</v>
      </c>
      <c r="F24" s="330">
        <f>K15*G24/100</f>
        <v>0</v>
      </c>
      <c r="G24" s="300">
        <f>L14</f>
        <v>0</v>
      </c>
      <c r="H24" s="332"/>
      <c r="I24" s="772">
        <f>IF(F24&gt;E24,F24,E24)</f>
        <v>0</v>
      </c>
      <c r="J24" s="158"/>
      <c r="K24" s="159"/>
      <c r="L24" s="361"/>
    </row>
    <row r="25" spans="1:12" ht="21" customHeight="1" thickBot="1" thickTop="1">
      <c r="A25" s="362"/>
      <c r="B25" s="374" t="s">
        <v>326</v>
      </c>
      <c r="C25" s="774">
        <f>SUM(I21:I24)</f>
        <v>0</v>
      </c>
      <c r="D25" s="770"/>
      <c r="E25" s="769" t="s">
        <v>325</v>
      </c>
      <c r="F25" s="363"/>
      <c r="G25" s="364"/>
      <c r="H25" s="365"/>
      <c r="I25" s="761">
        <f>SUM(I21:I24)/2</f>
        <v>0</v>
      </c>
      <c r="J25" s="750"/>
      <c r="K25" s="751"/>
      <c r="L25" s="752"/>
    </row>
    <row r="26" spans="1:12" ht="8.25" customHeight="1">
      <c r="A26" s="386"/>
      <c r="B26" s="386"/>
      <c r="C26" s="387"/>
      <c r="D26" s="387"/>
      <c r="E26" s="387"/>
      <c r="F26" s="388"/>
      <c r="G26" s="386"/>
      <c r="H26" s="386"/>
      <c r="I26" s="386"/>
      <c r="J26" s="386"/>
      <c r="K26" s="387"/>
      <c r="L26" s="386"/>
    </row>
    <row r="27" spans="1:12" ht="15" customHeight="1">
      <c r="A27" s="378"/>
      <c r="B27" s="578" t="s">
        <v>100</v>
      </c>
      <c r="C27" s="399"/>
      <c r="D27" s="379"/>
      <c r="E27" s="379"/>
      <c r="F27" s="380"/>
      <c r="G27" s="334" t="s">
        <v>107</v>
      </c>
      <c r="H27" s="389" t="s">
        <v>104</v>
      </c>
      <c r="I27" s="390"/>
      <c r="J27" s="378" t="s">
        <v>280</v>
      </c>
      <c r="K27" s="379"/>
      <c r="L27" s="440"/>
    </row>
    <row r="28" spans="1:12" ht="14.25" customHeight="1">
      <c r="A28" s="381"/>
      <c r="B28" s="383"/>
      <c r="C28" s="337"/>
      <c r="D28" s="338"/>
      <c r="E28" s="338"/>
      <c r="F28" s="382"/>
      <c r="G28" s="335" t="s">
        <v>63</v>
      </c>
      <c r="H28" s="335"/>
      <c r="I28" s="333"/>
      <c r="J28" s="383" t="s">
        <v>121</v>
      </c>
      <c r="K28" s="338"/>
      <c r="L28" s="333"/>
    </row>
    <row r="29" spans="1:12" ht="16.5" customHeight="1">
      <c r="A29" s="378"/>
      <c r="B29" s="325" t="s">
        <v>110</v>
      </c>
      <c r="C29" s="399"/>
      <c r="D29" s="379"/>
      <c r="E29" s="379"/>
      <c r="F29" s="380"/>
      <c r="G29" s="384"/>
      <c r="H29" s="398"/>
      <c r="I29" s="378"/>
      <c r="J29" s="121" t="s">
        <v>112</v>
      </c>
      <c r="K29" s="753"/>
      <c r="L29" s="327"/>
    </row>
    <row r="30" spans="1:12" ht="18.75">
      <c r="A30" s="378"/>
      <c r="B30" s="325" t="s">
        <v>213</v>
      </c>
      <c r="C30" s="375"/>
      <c r="D30" s="379"/>
      <c r="E30" s="379"/>
      <c r="F30" s="380"/>
      <c r="G30" s="384"/>
      <c r="H30" s="384"/>
      <c r="I30" s="385"/>
      <c r="J30" s="121" t="s">
        <v>385</v>
      </c>
      <c r="K30" s="753"/>
      <c r="L30" s="327"/>
    </row>
    <row r="31" spans="2:12" ht="18.75">
      <c r="B31" s="377" t="s">
        <v>111</v>
      </c>
      <c r="C31" s="376"/>
      <c r="D31" s="379"/>
      <c r="E31" s="379"/>
      <c r="F31" s="380"/>
      <c r="G31" s="471">
        <v>0</v>
      </c>
      <c r="H31" s="384"/>
      <c r="I31" s="385">
        <f>G31*4/100</f>
        <v>0</v>
      </c>
      <c r="J31" s="121" t="s">
        <v>386</v>
      </c>
      <c r="K31" s="753"/>
      <c r="L31" s="441"/>
    </row>
    <row r="32" spans="2:12" ht="18.75">
      <c r="B32" s="377" t="s">
        <v>113</v>
      </c>
      <c r="C32" s="376"/>
      <c r="D32" s="379"/>
      <c r="E32" s="379"/>
      <c r="F32" s="380"/>
      <c r="G32" s="471">
        <v>0</v>
      </c>
      <c r="H32" s="384"/>
      <c r="I32" s="385">
        <f>G32*4/100</f>
        <v>0</v>
      </c>
      <c r="J32" s="754" t="s">
        <v>329</v>
      </c>
      <c r="K32" s="753"/>
      <c r="L32" s="441"/>
    </row>
    <row r="33" spans="2:12" ht="18.75">
      <c r="B33" s="325" t="s">
        <v>233</v>
      </c>
      <c r="C33" s="375"/>
      <c r="D33" s="379"/>
      <c r="E33" s="605"/>
      <c r="F33" s="604"/>
      <c r="G33" s="471"/>
      <c r="H33" s="384"/>
      <c r="I33" s="385"/>
      <c r="J33" s="7"/>
      <c r="L33" s="441"/>
    </row>
    <row r="34" spans="2:12" ht="18.75">
      <c r="B34" s="377" t="s">
        <v>238</v>
      </c>
      <c r="C34" s="376"/>
      <c r="D34" s="379"/>
      <c r="E34" s="606" t="s">
        <v>234</v>
      </c>
      <c r="F34" s="607">
        <v>1</v>
      </c>
      <c r="G34" s="608">
        <v>0</v>
      </c>
      <c r="H34" s="609"/>
      <c r="I34" s="610">
        <f>IF(F34=1,G34*8/100,IF(F34=2,G34*6/100,0))</f>
        <v>0</v>
      </c>
      <c r="J34" s="7"/>
      <c r="L34" s="441"/>
    </row>
    <row r="35" spans="2:12" ht="18.75">
      <c r="B35" s="617" t="s">
        <v>249</v>
      </c>
      <c r="C35" s="376"/>
      <c r="D35" s="379"/>
      <c r="E35" s="606" t="s">
        <v>234</v>
      </c>
      <c r="F35" s="607">
        <v>1</v>
      </c>
      <c r="G35" s="608">
        <v>0</v>
      </c>
      <c r="H35" s="609"/>
      <c r="I35" s="610">
        <f>IF(F35=1,G35*8/100,IF(F35=2,G35*6/100,0))</f>
        <v>0</v>
      </c>
      <c r="J35" s="7"/>
      <c r="L35" s="441"/>
    </row>
    <row r="36" spans="2:12" ht="18.75">
      <c r="B36" s="325" t="s">
        <v>114</v>
      </c>
      <c r="C36" s="375"/>
      <c r="D36" s="379"/>
      <c r="E36" s="379"/>
      <c r="F36" s="380"/>
      <c r="G36" s="471"/>
      <c r="H36" s="384"/>
      <c r="I36" s="378"/>
      <c r="J36" s="384"/>
      <c r="K36" s="379"/>
      <c r="L36" s="327"/>
    </row>
    <row r="37" spans="2:12" ht="18.75">
      <c r="B37" s="325" t="s">
        <v>214</v>
      </c>
      <c r="C37" s="375"/>
      <c r="D37" s="379"/>
      <c r="E37" s="379"/>
      <c r="F37" s="380"/>
      <c r="G37" s="471"/>
      <c r="H37" s="384"/>
      <c r="I37" s="385"/>
      <c r="J37" s="384" t="s">
        <v>112</v>
      </c>
      <c r="K37" s="379"/>
      <c r="L37" s="327"/>
    </row>
    <row r="38" spans="2:12" ht="18.75">
      <c r="B38" s="377" t="s">
        <v>111</v>
      </c>
      <c r="C38" s="376"/>
      <c r="D38" s="379"/>
      <c r="E38" s="379"/>
      <c r="F38" s="380"/>
      <c r="G38" s="471">
        <v>0</v>
      </c>
      <c r="H38" s="384"/>
      <c r="I38" s="385">
        <f>G38*8/100</f>
        <v>0</v>
      </c>
      <c r="J38" s="7"/>
      <c r="L38" s="441"/>
    </row>
    <row r="39" spans="2:12" ht="18.75">
      <c r="B39" s="842" t="s">
        <v>113</v>
      </c>
      <c r="C39" s="375"/>
      <c r="D39" s="379"/>
      <c r="E39" s="379"/>
      <c r="F39" s="380"/>
      <c r="G39" s="471">
        <v>0</v>
      </c>
      <c r="H39" s="384"/>
      <c r="I39" s="385">
        <f>G39*8/100</f>
        <v>0</v>
      </c>
      <c r="J39" s="7"/>
      <c r="L39" s="441"/>
    </row>
    <row r="40" spans="2:12" ht="18.75">
      <c r="B40" s="325" t="s">
        <v>215</v>
      </c>
      <c r="C40" s="375"/>
      <c r="D40" s="379"/>
      <c r="E40" s="379"/>
      <c r="F40" s="380"/>
      <c r="G40" s="471"/>
      <c r="H40" s="384"/>
      <c r="I40" s="385"/>
      <c r="J40" s="7"/>
      <c r="L40" s="441"/>
    </row>
    <row r="41" spans="2:12" ht="18.75">
      <c r="B41" s="377" t="s">
        <v>111</v>
      </c>
      <c r="C41" s="375"/>
      <c r="D41" s="379"/>
      <c r="E41" s="379"/>
      <c r="F41" s="380"/>
      <c r="G41" s="471">
        <v>0</v>
      </c>
      <c r="H41" s="384"/>
      <c r="I41" s="385">
        <f>G41*12/100</f>
        <v>0</v>
      </c>
      <c r="J41" s="7"/>
      <c r="L41" s="441"/>
    </row>
    <row r="42" spans="1:12" ht="19.5" thickBot="1">
      <c r="A42" s="284"/>
      <c r="B42" s="400" t="s">
        <v>113</v>
      </c>
      <c r="C42" s="375"/>
      <c r="D42" s="338"/>
      <c r="E42" s="338"/>
      <c r="F42" s="382"/>
      <c r="G42" s="471">
        <v>0</v>
      </c>
      <c r="H42" s="383"/>
      <c r="I42" s="755">
        <f>G42*12/100</f>
        <v>0</v>
      </c>
      <c r="J42" s="9"/>
      <c r="K42" s="304"/>
      <c r="L42" s="284"/>
    </row>
    <row r="43" spans="1:12" ht="20.25" thickBot="1" thickTop="1">
      <c r="A43" s="6"/>
      <c r="B43" s="843" t="s">
        <v>367</v>
      </c>
      <c r="C43" s="844">
        <f>SUM(I31:I42)</f>
        <v>0</v>
      </c>
      <c r="D43" s="767"/>
      <c r="E43" s="763" t="s">
        <v>366</v>
      </c>
      <c r="F43" s="768"/>
      <c r="G43" s="845">
        <v>0</v>
      </c>
      <c r="H43" s="765"/>
      <c r="I43" s="854">
        <f>C43+G43</f>
        <v>0</v>
      </c>
      <c r="J43" s="757"/>
      <c r="K43" s="304"/>
      <c r="L43" s="284"/>
    </row>
    <row r="44" spans="1:12" ht="15" customHeight="1" thickTop="1">
      <c r="A44" s="162"/>
      <c r="B44" s="80" t="s">
        <v>118</v>
      </c>
      <c r="C44" s="337"/>
      <c r="D44" s="402"/>
      <c r="E44" s="402"/>
      <c r="F44" s="403"/>
      <c r="G44" s="298" t="s">
        <v>117</v>
      </c>
      <c r="H44" s="404" t="s">
        <v>119</v>
      </c>
      <c r="I44" s="756" t="s">
        <v>3</v>
      </c>
      <c r="J44" s="383" t="s">
        <v>120</v>
      </c>
      <c r="K44" s="405"/>
      <c r="L44" s="442"/>
    </row>
    <row r="45" spans="2:12" ht="18.75">
      <c r="B45" s="17" t="s">
        <v>239</v>
      </c>
      <c r="C45" s="372"/>
      <c r="D45" s="379"/>
      <c r="E45" s="379"/>
      <c r="F45" s="380"/>
      <c r="G45" s="384"/>
      <c r="H45" s="401"/>
      <c r="I45" s="453"/>
      <c r="J45" s="758" t="s">
        <v>112</v>
      </c>
      <c r="K45" s="485"/>
      <c r="L45" s="759"/>
    </row>
    <row r="46" spans="2:12" ht="18.75">
      <c r="B46" s="36" t="s">
        <v>235</v>
      </c>
      <c r="C46" s="372"/>
      <c r="G46" s="384"/>
      <c r="H46" s="401"/>
      <c r="I46" s="454"/>
      <c r="J46" s="760" t="s">
        <v>330</v>
      </c>
      <c r="K46" s="485"/>
      <c r="L46" s="759"/>
    </row>
    <row r="47" spans="2:12" ht="18.75">
      <c r="B47" s="377" t="s">
        <v>250</v>
      </c>
      <c r="C47" s="373"/>
      <c r="D47" s="452"/>
      <c r="E47" s="452"/>
      <c r="F47" s="193"/>
      <c r="G47" s="406">
        <v>0</v>
      </c>
      <c r="H47" s="406">
        <v>0</v>
      </c>
      <c r="I47" s="455">
        <f>G47+H47</f>
        <v>0</v>
      </c>
      <c r="J47" s="611" t="s">
        <v>237</v>
      </c>
      <c r="K47" s="612"/>
      <c r="L47" s="613"/>
    </row>
    <row r="48" spans="2:12" ht="18.75">
      <c r="B48" s="377" t="s">
        <v>167</v>
      </c>
      <c r="C48" s="452"/>
      <c r="D48" s="452"/>
      <c r="E48" s="452"/>
      <c r="F48" s="193"/>
      <c r="G48" s="406">
        <v>0</v>
      </c>
      <c r="H48" s="406">
        <v>0</v>
      </c>
      <c r="I48" s="455">
        <f>G48+H48</f>
        <v>0</v>
      </c>
      <c r="J48" s="611" t="s">
        <v>237</v>
      </c>
      <c r="K48" s="612"/>
      <c r="L48" s="613"/>
    </row>
    <row r="49" spans="2:12" ht="18.75">
      <c r="B49" s="377" t="s">
        <v>168</v>
      </c>
      <c r="C49" s="452"/>
      <c r="D49" s="452"/>
      <c r="E49" s="452"/>
      <c r="F49" s="193"/>
      <c r="G49" s="406">
        <v>0</v>
      </c>
      <c r="H49" s="406">
        <v>0</v>
      </c>
      <c r="I49" s="455">
        <f>G49+H49</f>
        <v>0</v>
      </c>
      <c r="J49" s="611" t="s">
        <v>237</v>
      </c>
      <c r="K49" s="612"/>
      <c r="L49" s="613"/>
    </row>
    <row r="50" spans="2:12" ht="18.75">
      <c r="B50" s="36" t="s">
        <v>236</v>
      </c>
      <c r="G50" s="138"/>
      <c r="H50" s="138"/>
      <c r="I50" s="454"/>
      <c r="L50" s="441"/>
    </row>
    <row r="51" spans="2:12" ht="18.75">
      <c r="B51" s="377" t="s">
        <v>238</v>
      </c>
      <c r="C51" s="452"/>
      <c r="D51" s="452"/>
      <c r="E51" s="372"/>
      <c r="F51" s="193"/>
      <c r="G51" s="406">
        <v>0</v>
      </c>
      <c r="H51" s="406">
        <v>0</v>
      </c>
      <c r="I51" s="455">
        <f>G51+H51</f>
        <v>0</v>
      </c>
      <c r="J51" s="611" t="s">
        <v>237</v>
      </c>
      <c r="K51" s="612"/>
      <c r="L51" s="613"/>
    </row>
    <row r="52" spans="2:12" ht="15" customHeight="1" thickBot="1">
      <c r="B52" s="400" t="s">
        <v>167</v>
      </c>
      <c r="C52" s="452"/>
      <c r="D52" s="452"/>
      <c r="E52" s="159"/>
      <c r="F52" s="193"/>
      <c r="G52" s="406">
        <v>0</v>
      </c>
      <c r="H52" s="406">
        <v>0</v>
      </c>
      <c r="I52" s="455">
        <f>G52+H52</f>
        <v>0</v>
      </c>
      <c r="J52" s="611" t="s">
        <v>237</v>
      </c>
      <c r="K52" s="612"/>
      <c r="L52" s="613"/>
    </row>
    <row r="53" spans="1:12" ht="18" customHeight="1" thickBot="1" thickTop="1">
      <c r="A53" s="162"/>
      <c r="B53" s="843" t="s">
        <v>368</v>
      </c>
      <c r="C53" s="846">
        <f>SUM(I47:I52)</f>
        <v>0</v>
      </c>
      <c r="D53" s="762"/>
      <c r="E53" s="763" t="s">
        <v>366</v>
      </c>
      <c r="F53" s="764"/>
      <c r="G53" s="847">
        <v>0</v>
      </c>
      <c r="H53" s="766"/>
      <c r="I53" s="761">
        <f>C53+G53</f>
        <v>0</v>
      </c>
      <c r="J53" s="757"/>
      <c r="K53" s="405"/>
      <c r="L53" s="442"/>
    </row>
    <row r="54" spans="1:12" ht="18" customHeight="1" thickBot="1" thickTop="1">
      <c r="A54" s="436"/>
      <c r="B54" s="437" t="s">
        <v>331</v>
      </c>
      <c r="C54" s="438"/>
      <c r="D54" s="438"/>
      <c r="E54" s="438"/>
      <c r="F54" s="439"/>
      <c r="G54" s="436"/>
      <c r="H54" s="436"/>
      <c r="I54" s="773">
        <f>I25+I43+I53</f>
        <v>0</v>
      </c>
      <c r="J54" s="436"/>
      <c r="K54" s="438"/>
      <c r="L54" s="436"/>
    </row>
    <row r="55" ht="19.5" thickTop="1"/>
  </sheetData>
  <sheetProtection password="CC19" sheet="1"/>
  <mergeCells count="4">
    <mergeCell ref="D2:E2"/>
    <mergeCell ref="F2:J2"/>
    <mergeCell ref="E18:F18"/>
    <mergeCell ref="J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="130" zoomScaleSheetLayoutView="130" zoomScalePageLayoutView="0" workbookViewId="0" topLeftCell="A1">
      <selection activeCell="D66" sqref="D66"/>
    </sheetView>
  </sheetViews>
  <sheetFormatPr defaultColWidth="9.140625" defaultRowHeight="21.75"/>
  <cols>
    <col min="1" max="1" width="3.57421875" style="1" customWidth="1"/>
    <col min="2" max="2" width="57.00390625" style="1" customWidth="1"/>
    <col min="3" max="3" width="6.421875" style="1" customWidth="1"/>
    <col min="4" max="4" width="6.28125" style="52" customWidth="1"/>
    <col min="5" max="5" width="7.57421875" style="52" customWidth="1"/>
    <col min="6" max="6" width="7.28125" style="194" customWidth="1"/>
    <col min="7" max="7" width="17.00390625" style="1" customWidth="1"/>
    <col min="8" max="8" width="18.421875" style="1" customWidth="1"/>
    <col min="9" max="16384" width="9.140625" style="1" customWidth="1"/>
  </cols>
  <sheetData>
    <row r="1" spans="1:7" s="10" customFormat="1" ht="6.75" customHeight="1">
      <c r="A1" s="458"/>
      <c r="B1" s="458"/>
      <c r="C1" s="458"/>
      <c r="D1" s="458"/>
      <c r="E1" s="458"/>
      <c r="F1" s="459"/>
      <c r="G1" s="458"/>
    </row>
    <row r="2" spans="1:7" ht="17.25" customHeight="1">
      <c r="A2" s="64"/>
      <c r="B2" s="35" t="s">
        <v>0</v>
      </c>
      <c r="C2" s="35"/>
      <c r="D2" s="35"/>
      <c r="E2" s="35" t="s">
        <v>122</v>
      </c>
      <c r="F2" s="187" t="s">
        <v>5</v>
      </c>
      <c r="G2" s="580" t="s">
        <v>278</v>
      </c>
    </row>
    <row r="3" spans="1:7" ht="18.75" customHeight="1">
      <c r="A3" s="47">
        <v>3</v>
      </c>
      <c r="B3" s="37" t="s">
        <v>22</v>
      </c>
      <c r="C3" s="37"/>
      <c r="D3" s="37"/>
      <c r="E3" s="412" t="s">
        <v>63</v>
      </c>
      <c r="F3" s="413"/>
      <c r="G3" s="10" t="s">
        <v>23</v>
      </c>
    </row>
    <row r="4" spans="1:7" ht="17.25" customHeight="1">
      <c r="A4" s="10"/>
      <c r="B4" s="17" t="s">
        <v>219</v>
      </c>
      <c r="C4" s="12"/>
      <c r="D4" s="421"/>
      <c r="E4" s="409">
        <v>0</v>
      </c>
      <c r="F4" s="407">
        <f>16*E4/100</f>
        <v>0</v>
      </c>
      <c r="G4" s="410" t="s">
        <v>123</v>
      </c>
    </row>
    <row r="5" spans="1:7" ht="17.25" customHeight="1">
      <c r="A5" s="10"/>
      <c r="B5" s="422"/>
      <c r="C5" s="848"/>
      <c r="D5" s="421"/>
      <c r="E5" s="640"/>
      <c r="F5" s="641"/>
      <c r="G5" s="12"/>
    </row>
    <row r="6" spans="1:7" ht="17.25" customHeight="1">
      <c r="A6" s="10"/>
      <c r="B6" s="17" t="s">
        <v>242</v>
      </c>
      <c r="C6" s="12"/>
      <c r="D6" s="616" t="s">
        <v>240</v>
      </c>
      <c r="E6" s="409">
        <v>0</v>
      </c>
      <c r="F6" s="407">
        <f>4*E6/100</f>
        <v>0</v>
      </c>
      <c r="G6" s="10" t="s">
        <v>123</v>
      </c>
    </row>
    <row r="7" spans="1:7" ht="17.25" customHeight="1">
      <c r="A7" s="10"/>
      <c r="B7" s="17" t="s">
        <v>334</v>
      </c>
      <c r="C7" s="12"/>
      <c r="D7" s="616" t="s">
        <v>241</v>
      </c>
      <c r="E7" s="409">
        <v>0</v>
      </c>
      <c r="F7" s="407">
        <f>2*E7/100</f>
        <v>0</v>
      </c>
      <c r="G7" s="10"/>
    </row>
    <row r="8" spans="1:7" ht="17.25" customHeight="1">
      <c r="A8" s="10"/>
      <c r="B8" s="422"/>
      <c r="C8" s="848"/>
      <c r="D8" s="616"/>
      <c r="E8" s="409"/>
      <c r="F8" s="407"/>
      <c r="G8" s="10"/>
    </row>
    <row r="9" spans="1:7" ht="17.25" customHeight="1">
      <c r="A9" s="10"/>
      <c r="B9" s="422"/>
      <c r="C9" s="848"/>
      <c r="D9" s="616"/>
      <c r="E9" s="640"/>
      <c r="F9" s="641"/>
      <c r="G9" s="10"/>
    </row>
    <row r="10" spans="1:7" ht="18.75" customHeight="1">
      <c r="A10" s="10"/>
      <c r="B10" s="642"/>
      <c r="C10" s="849"/>
      <c r="D10" s="411"/>
      <c r="E10" s="640"/>
      <c r="F10" s="641"/>
      <c r="G10" s="12"/>
    </row>
    <row r="11" spans="1:7" ht="18.75" customHeight="1">
      <c r="A11" s="10"/>
      <c r="B11" s="17" t="s">
        <v>335</v>
      </c>
      <c r="C11" s="12"/>
      <c r="D11" s="421"/>
      <c r="E11" s="409">
        <v>0</v>
      </c>
      <c r="F11" s="407">
        <f>6*E11/100</f>
        <v>0</v>
      </c>
      <c r="G11" s="10" t="s">
        <v>123</v>
      </c>
    </row>
    <row r="12" spans="1:7" ht="18.75" customHeight="1">
      <c r="A12" s="10"/>
      <c r="B12" s="422"/>
      <c r="C12" s="848"/>
      <c r="D12" s="411"/>
      <c r="E12" s="409"/>
      <c r="F12" s="407"/>
      <c r="G12" s="12"/>
    </row>
    <row r="13" spans="1:7" ht="18.75" customHeight="1">
      <c r="A13" s="10"/>
      <c r="B13" s="422"/>
      <c r="C13" s="848"/>
      <c r="D13" s="411"/>
      <c r="E13" s="409"/>
      <c r="F13" s="407"/>
      <c r="G13" s="12"/>
    </row>
    <row r="14" spans="1:7" ht="18.75" customHeight="1">
      <c r="A14" s="12"/>
      <c r="B14" s="17" t="s">
        <v>217</v>
      </c>
      <c r="C14" s="12"/>
      <c r="D14" s="421"/>
      <c r="E14" s="409">
        <v>0</v>
      </c>
      <c r="F14" s="407">
        <f>6*E14/100</f>
        <v>0</v>
      </c>
      <c r="G14" s="12"/>
    </row>
    <row r="15" spans="1:7" ht="18.75" customHeight="1">
      <c r="A15" s="12"/>
      <c r="B15" s="582"/>
      <c r="C15" s="850"/>
      <c r="D15" s="581"/>
      <c r="E15" s="640"/>
      <c r="F15" s="641"/>
      <c r="G15" s="12"/>
    </row>
    <row r="16" spans="1:7" ht="18.75" customHeight="1">
      <c r="A16" s="12"/>
      <c r="B16" s="423" t="s">
        <v>218</v>
      </c>
      <c r="C16" s="851"/>
      <c r="D16" s="414" t="s">
        <v>124</v>
      </c>
      <c r="E16" s="643" t="s">
        <v>63</v>
      </c>
      <c r="F16" s="644"/>
      <c r="G16" s="12"/>
    </row>
    <row r="17" spans="1:7" ht="18.75" customHeight="1" thickBot="1">
      <c r="A17" s="12"/>
      <c r="B17" s="422" t="s">
        <v>125</v>
      </c>
      <c r="C17" s="917"/>
      <c r="D17" s="415">
        <v>0</v>
      </c>
      <c r="E17" s="853">
        <v>0</v>
      </c>
      <c r="F17" s="407">
        <f>D17*E17/100</f>
        <v>0</v>
      </c>
      <c r="G17" s="11"/>
    </row>
    <row r="18" spans="1:7" ht="19.5" customHeight="1" thickBot="1" thickTop="1">
      <c r="A18" s="15"/>
      <c r="B18" s="852" t="s">
        <v>370</v>
      </c>
      <c r="C18" s="856">
        <f>SUM(F4:F17)</f>
        <v>0</v>
      </c>
      <c r="D18" s="857" t="s">
        <v>371</v>
      </c>
      <c r="E18" s="863">
        <v>0</v>
      </c>
      <c r="F18" s="855">
        <f>C18+E18</f>
        <v>0</v>
      </c>
      <c r="G18" s="782"/>
    </row>
    <row r="19" spans="1:7" ht="18.75" customHeight="1" thickTop="1">
      <c r="A19" s="26">
        <v>4</v>
      </c>
      <c r="B19" s="583" t="s">
        <v>126</v>
      </c>
      <c r="C19" s="34"/>
      <c r="D19" s="584"/>
      <c r="E19" s="335" t="s">
        <v>135</v>
      </c>
      <c r="F19" s="775" t="s">
        <v>5</v>
      </c>
      <c r="G19" s="83" t="s">
        <v>26</v>
      </c>
    </row>
    <row r="20" spans="1:7" ht="22.5" customHeight="1">
      <c r="A20" s="47"/>
      <c r="B20" s="873" t="s">
        <v>391</v>
      </c>
      <c r="C20" s="873"/>
      <c r="D20" s="427">
        <v>0</v>
      </c>
      <c r="E20" s="447">
        <f>F20</f>
        <v>0</v>
      </c>
      <c r="F20" s="416">
        <f>D20*1</f>
        <v>0</v>
      </c>
      <c r="G20" s="83"/>
    </row>
    <row r="21" spans="1:7" s="652" customFormat="1" ht="18.75" customHeight="1">
      <c r="A21" s="647"/>
      <c r="B21" s="648" t="s">
        <v>285</v>
      </c>
      <c r="C21" s="918"/>
      <c r="D21" s="649"/>
      <c r="E21" s="649"/>
      <c r="F21" s="650"/>
      <c r="G21" s="651"/>
    </row>
    <row r="22" spans="1:7" ht="18.75" customHeight="1">
      <c r="A22" s="47"/>
      <c r="B22" s="72" t="s">
        <v>392</v>
      </c>
      <c r="C22" s="73"/>
      <c r="D22" s="427">
        <v>0</v>
      </c>
      <c r="E22" s="447">
        <f>F22</f>
        <v>0</v>
      </c>
      <c r="F22" s="416">
        <f>D22*2</f>
        <v>0</v>
      </c>
      <c r="G22" s="83"/>
    </row>
    <row r="23" spans="1:7" ht="18.75" customHeight="1">
      <c r="A23" s="47"/>
      <c r="B23" s="72" t="s">
        <v>393</v>
      </c>
      <c r="C23" s="73"/>
      <c r="D23" s="427">
        <v>0</v>
      </c>
      <c r="E23" s="447">
        <f>F23</f>
        <v>0</v>
      </c>
      <c r="F23" s="416">
        <f>D23*2</f>
        <v>0</v>
      </c>
      <c r="G23" s="83"/>
    </row>
    <row r="24" spans="1:7" ht="18.75" customHeight="1">
      <c r="A24" s="47"/>
      <c r="B24" s="72" t="s">
        <v>394</v>
      </c>
      <c r="C24" s="73"/>
      <c r="D24" s="427">
        <v>0</v>
      </c>
      <c r="E24" s="447">
        <f>F24</f>
        <v>0</v>
      </c>
      <c r="F24" s="416">
        <v>0</v>
      </c>
      <c r="G24" s="83"/>
    </row>
    <row r="25" spans="1:7" ht="18.75" customHeight="1">
      <c r="A25" s="12">
        <v>4.5</v>
      </c>
      <c r="B25" s="17" t="s">
        <v>395</v>
      </c>
      <c r="C25" s="14"/>
      <c r="D25" s="101">
        <v>0</v>
      </c>
      <c r="E25" s="447">
        <f>F25</f>
        <v>0</v>
      </c>
      <c r="F25" s="416">
        <f>+D25*0.5</f>
        <v>0</v>
      </c>
      <c r="G25" s="85"/>
    </row>
    <row r="26" spans="1:7" ht="18.75" customHeight="1">
      <c r="A26" s="12"/>
      <c r="B26" s="82" t="s">
        <v>223</v>
      </c>
      <c r="C26" s="859"/>
      <c r="D26" s="101"/>
      <c r="E26" s="447"/>
      <c r="F26" s="407"/>
      <c r="G26" s="85"/>
    </row>
    <row r="27" spans="1:7" ht="18.75" customHeight="1">
      <c r="A27" s="12"/>
      <c r="B27" s="17" t="s">
        <v>396</v>
      </c>
      <c r="C27" s="14"/>
      <c r="D27" s="101">
        <v>0</v>
      </c>
      <c r="E27" s="447">
        <f>F27</f>
        <v>0</v>
      </c>
      <c r="F27" s="189">
        <f>+D27*0.25</f>
        <v>0</v>
      </c>
      <c r="G27" s="85"/>
    </row>
    <row r="28" spans="1:7" ht="18.75" customHeight="1">
      <c r="A28" s="12"/>
      <c r="B28" s="82" t="s">
        <v>224</v>
      </c>
      <c r="C28" s="859"/>
      <c r="D28" s="425" t="s">
        <v>2</v>
      </c>
      <c r="E28" s="418"/>
      <c r="F28" s="408" t="s">
        <v>2</v>
      </c>
      <c r="G28" s="12"/>
    </row>
    <row r="29" spans="1:7" ht="18.75" customHeight="1">
      <c r="A29" s="12"/>
      <c r="B29" s="82" t="s">
        <v>397</v>
      </c>
      <c r="C29" s="859"/>
      <c r="D29" s="101">
        <v>0</v>
      </c>
      <c r="E29" s="447">
        <f>F29</f>
        <v>0</v>
      </c>
      <c r="F29" s="189">
        <f>+D29*0.5</f>
        <v>0</v>
      </c>
      <c r="G29" s="85"/>
    </row>
    <row r="30" spans="1:7" ht="18.75" customHeight="1">
      <c r="A30" s="12"/>
      <c r="B30" s="82"/>
      <c r="C30" s="859"/>
      <c r="D30" s="156"/>
      <c r="E30" s="447"/>
      <c r="F30" s="189"/>
      <c r="G30" s="85"/>
    </row>
    <row r="31" spans="1:7" ht="18.75" customHeight="1">
      <c r="A31" s="12"/>
      <c r="B31" s="428" t="s">
        <v>398</v>
      </c>
      <c r="C31" s="882"/>
      <c r="D31" s="156">
        <v>0</v>
      </c>
      <c r="E31" s="447">
        <f>F31</f>
        <v>0</v>
      </c>
      <c r="F31" s="189">
        <f>+D31*0.35</f>
        <v>0</v>
      </c>
      <c r="G31" s="85"/>
    </row>
    <row r="32" spans="1:7" ht="18.75" customHeight="1">
      <c r="A32" s="12"/>
      <c r="B32" s="82" t="s">
        <v>222</v>
      </c>
      <c r="C32" s="859"/>
      <c r="D32" s="425" t="s">
        <v>2</v>
      </c>
      <c r="E32" s="418"/>
      <c r="F32" s="408" t="s">
        <v>2</v>
      </c>
      <c r="G32" s="85"/>
    </row>
    <row r="33" spans="1:7" ht="18.75" customHeight="1">
      <c r="A33" s="12"/>
      <c r="B33" s="82" t="s">
        <v>399</v>
      </c>
      <c r="C33" s="859"/>
      <c r="D33" s="156">
        <v>0</v>
      </c>
      <c r="E33" s="447">
        <f>F33</f>
        <v>0</v>
      </c>
      <c r="F33" s="189">
        <f>+D33*0.5</f>
        <v>0</v>
      </c>
      <c r="G33" s="85"/>
    </row>
    <row r="34" spans="1:7" ht="18.75" customHeight="1">
      <c r="A34" s="47"/>
      <c r="B34" s="72" t="s">
        <v>400</v>
      </c>
      <c r="C34" s="73"/>
      <c r="D34" s="156">
        <v>0</v>
      </c>
      <c r="E34" s="447">
        <f>F34</f>
        <v>0</v>
      </c>
      <c r="F34" s="189">
        <f>+D34*0.5</f>
        <v>0</v>
      </c>
      <c r="G34" s="85"/>
    </row>
    <row r="35" spans="1:7" ht="18.75" customHeight="1">
      <c r="A35" s="47"/>
      <c r="B35" s="72"/>
      <c r="C35" s="73"/>
      <c r="D35" s="427"/>
      <c r="E35" s="447"/>
      <c r="F35" s="416"/>
      <c r="G35" s="83"/>
    </row>
    <row r="36" spans="1:7" ht="18.75" customHeight="1">
      <c r="A36" s="248">
        <v>4.6</v>
      </c>
      <c r="B36" s="72" t="s">
        <v>243</v>
      </c>
      <c r="C36" s="73"/>
      <c r="D36" s="427"/>
      <c r="E36" s="447"/>
      <c r="F36" s="416"/>
      <c r="G36" s="83"/>
    </row>
    <row r="37" spans="1:7" ht="18.75" customHeight="1">
      <c r="A37" s="10"/>
      <c r="B37" s="17" t="s">
        <v>401</v>
      </c>
      <c r="C37" s="14"/>
      <c r="D37" s="101">
        <v>0</v>
      </c>
      <c r="E37" s="447">
        <f>F37</f>
        <v>0</v>
      </c>
      <c r="F37" s="189">
        <f>+D37</f>
        <v>0</v>
      </c>
      <c r="G37" s="83"/>
    </row>
    <row r="38" spans="1:7" ht="18.75" customHeight="1">
      <c r="A38" s="12"/>
      <c r="B38" s="17" t="s">
        <v>402</v>
      </c>
      <c r="C38" s="14"/>
      <c r="D38" s="101">
        <v>0</v>
      </c>
      <c r="E38" s="447">
        <f>F38</f>
        <v>0</v>
      </c>
      <c r="F38" s="189">
        <f>+D38</f>
        <v>0</v>
      </c>
      <c r="G38" s="83"/>
    </row>
    <row r="39" spans="1:7" ht="18.75" customHeight="1">
      <c r="A39" s="12"/>
      <c r="B39" s="17" t="s">
        <v>403</v>
      </c>
      <c r="C39" s="14"/>
      <c r="D39" s="101">
        <v>0</v>
      </c>
      <c r="E39" s="447">
        <f>F39</f>
        <v>0</v>
      </c>
      <c r="F39" s="189">
        <f>+D39</f>
        <v>0</v>
      </c>
      <c r="G39" s="83"/>
    </row>
    <row r="40" spans="1:7" ht="18.75" customHeight="1">
      <c r="A40" s="12"/>
      <c r="B40" s="82" t="s">
        <v>170</v>
      </c>
      <c r="C40" s="859"/>
      <c r="D40" s="425" t="s">
        <v>2</v>
      </c>
      <c r="E40" s="418"/>
      <c r="F40" s="408" t="s">
        <v>2</v>
      </c>
      <c r="G40" s="12"/>
    </row>
    <row r="41" spans="1:7" ht="18.75" customHeight="1">
      <c r="A41" s="12">
        <v>4.6</v>
      </c>
      <c r="B41" s="72" t="s">
        <v>216</v>
      </c>
      <c r="C41" s="73"/>
      <c r="D41" s="425"/>
      <c r="E41" s="418"/>
      <c r="F41" s="408"/>
      <c r="G41" s="12"/>
    </row>
    <row r="42" spans="1:7" ht="18.75" customHeight="1">
      <c r="A42" s="12"/>
      <c r="B42" s="82" t="s">
        <v>416</v>
      </c>
      <c r="C42" s="859"/>
      <c r="D42" s="101">
        <v>0</v>
      </c>
      <c r="E42" s="447">
        <f>F42</f>
        <v>0</v>
      </c>
      <c r="F42" s="189">
        <f>+D42</f>
        <v>0</v>
      </c>
      <c r="G42" s="83"/>
    </row>
    <row r="43" spans="1:7" ht="18.75" customHeight="1">
      <c r="A43" s="12"/>
      <c r="B43" s="82" t="s">
        <v>244</v>
      </c>
      <c r="C43" s="859"/>
      <c r="D43" s="424"/>
      <c r="E43" s="417"/>
      <c r="F43" s="189"/>
      <c r="G43" s="83"/>
    </row>
    <row r="44" spans="1:7" ht="18.75" customHeight="1">
      <c r="A44" s="11"/>
      <c r="B44" s="79" t="s">
        <v>404</v>
      </c>
      <c r="C44" s="919"/>
      <c r="D44" s="105">
        <v>0</v>
      </c>
      <c r="E44" s="585">
        <f>F44</f>
        <v>0</v>
      </c>
      <c r="F44" s="330">
        <f>+D44</f>
        <v>0</v>
      </c>
      <c r="G44" s="86"/>
    </row>
    <row r="45" spans="1:7" ht="20.25" customHeight="1">
      <c r="A45" s="11"/>
      <c r="B45" s="44" t="s">
        <v>332</v>
      </c>
      <c r="C45" s="923"/>
      <c r="D45" s="922"/>
      <c r="E45" s="221">
        <f>SUM(E20:E44)</f>
        <v>0</v>
      </c>
      <c r="F45" s="330">
        <f>IF(SUM(F20:F44)&gt;6,6,SUM(F20:F44))</f>
        <v>0</v>
      </c>
      <c r="G45" s="419" t="s">
        <v>372</v>
      </c>
    </row>
    <row r="46" spans="1:7" s="180" customFormat="1" ht="5.25" customHeight="1">
      <c r="A46" s="177"/>
      <c r="B46" s="178"/>
      <c r="C46" s="920"/>
      <c r="D46" s="426"/>
      <c r="E46" s="426"/>
      <c r="F46" s="202"/>
      <c r="G46" s="179"/>
    </row>
    <row r="47" spans="1:7" ht="17.25" customHeight="1">
      <c r="A47" s="64"/>
      <c r="B47" s="35" t="s">
        <v>0</v>
      </c>
      <c r="C47" s="921"/>
      <c r="D47" s="777" t="s">
        <v>5</v>
      </c>
      <c r="E47" s="35"/>
      <c r="F47" s="203" t="s">
        <v>10</v>
      </c>
      <c r="G47" s="579" t="s">
        <v>277</v>
      </c>
    </row>
    <row r="48" spans="1:7" ht="17.25" customHeight="1">
      <c r="A48" s="12">
        <v>5</v>
      </c>
      <c r="B48" s="17" t="s">
        <v>128</v>
      </c>
      <c r="C48" s="858"/>
      <c r="D48" s="153"/>
      <c r="E48" s="154"/>
      <c r="F48" s="430"/>
      <c r="G48" s="12"/>
    </row>
    <row r="49" spans="1:7" ht="17.25" customHeight="1">
      <c r="A49" s="12"/>
      <c r="B49" s="82" t="s">
        <v>145</v>
      </c>
      <c r="C49" s="859"/>
      <c r="D49" s="160">
        <v>0</v>
      </c>
      <c r="E49" s="645"/>
      <c r="F49" s="778">
        <f>IF(D49&gt;3,3,D49)</f>
        <v>0</v>
      </c>
      <c r="G49" s="85" t="s">
        <v>232</v>
      </c>
    </row>
    <row r="50" spans="1:7" ht="17.25" customHeight="1">
      <c r="A50" s="12"/>
      <c r="B50" s="82" t="s">
        <v>60</v>
      </c>
      <c r="C50" s="859"/>
      <c r="D50" s="160"/>
      <c r="E50" s="645"/>
      <c r="F50" s="641"/>
      <c r="G50" s="85"/>
    </row>
    <row r="51" spans="1:7" ht="17.25" customHeight="1">
      <c r="A51" s="14"/>
      <c r="B51" s="82" t="s">
        <v>149</v>
      </c>
      <c r="C51" s="859"/>
      <c r="D51" s="429">
        <v>0</v>
      </c>
      <c r="E51" s="779"/>
      <c r="F51" s="778">
        <f>IF(D51&gt;3,3,D51)</f>
        <v>0</v>
      </c>
      <c r="G51" s="85"/>
    </row>
    <row r="52" spans="1:7" ht="17.25" customHeight="1" thickBot="1">
      <c r="A52" s="11"/>
      <c r="B52" s="82" t="s">
        <v>127</v>
      </c>
      <c r="C52" s="859"/>
      <c r="D52" s="156"/>
      <c r="E52" s="646"/>
      <c r="F52" s="778"/>
      <c r="G52" s="86"/>
    </row>
    <row r="53" spans="1:7" ht="17.25" customHeight="1" thickBot="1" thickTop="1">
      <c r="A53" s="11"/>
      <c r="B53" s="780" t="s">
        <v>373</v>
      </c>
      <c r="C53" s="861">
        <f>SUM(F49:F51)</f>
        <v>0</v>
      </c>
      <c r="D53" s="857" t="s">
        <v>371</v>
      </c>
      <c r="E53" s="863">
        <v>0</v>
      </c>
      <c r="F53" s="862">
        <f>C53+E53</f>
        <v>0</v>
      </c>
      <c r="G53" s="782"/>
    </row>
    <row r="54" spans="1:7" ht="17.25" customHeight="1" thickTop="1">
      <c r="A54" s="50">
        <v>6</v>
      </c>
      <c r="B54" s="47" t="s">
        <v>140</v>
      </c>
      <c r="C54" s="47"/>
      <c r="D54" s="776" t="s">
        <v>5</v>
      </c>
      <c r="E54" s="29"/>
      <c r="F54" s="201"/>
      <c r="G54" s="10" t="s">
        <v>14</v>
      </c>
    </row>
    <row r="55" spans="1:7" ht="20.25" customHeight="1">
      <c r="A55" s="14"/>
      <c r="B55" s="10" t="s">
        <v>129</v>
      </c>
      <c r="C55" s="10"/>
      <c r="D55" s="101">
        <v>0</v>
      </c>
      <c r="E55" s="156"/>
      <c r="F55" s="200">
        <f>+D55</f>
        <v>0</v>
      </c>
      <c r="G55" s="83" t="s">
        <v>44</v>
      </c>
    </row>
    <row r="56" spans="1:7" ht="20.25" customHeight="1">
      <c r="A56" s="14"/>
      <c r="B56" s="10" t="s">
        <v>405</v>
      </c>
      <c r="C56" s="10"/>
      <c r="D56" s="102">
        <v>0</v>
      </c>
      <c r="E56" s="156"/>
      <c r="F56" s="200">
        <f>+IF(F55&gt;0,0,D56)</f>
        <v>0</v>
      </c>
      <c r="G56" s="83" t="s">
        <v>44</v>
      </c>
    </row>
    <row r="57" spans="1:7" ht="20.25" customHeight="1">
      <c r="A57" s="14"/>
      <c r="B57" s="204" t="s">
        <v>406</v>
      </c>
      <c r="C57" s="204"/>
      <c r="D57" s="102">
        <v>0</v>
      </c>
      <c r="E57" s="156"/>
      <c r="F57" s="200">
        <f>+IF((F56+F55)&gt;0,0,D57)</f>
        <v>0</v>
      </c>
      <c r="G57" s="83" t="s">
        <v>44</v>
      </c>
    </row>
    <row r="58" spans="1:7" ht="20.25" customHeight="1">
      <c r="A58" s="14"/>
      <c r="B58" s="149" t="s">
        <v>333</v>
      </c>
      <c r="C58" s="149"/>
      <c r="D58" s="102"/>
      <c r="E58" s="156"/>
      <c r="F58" s="200"/>
      <c r="G58" s="83"/>
    </row>
    <row r="59" spans="1:7" ht="20.25" customHeight="1">
      <c r="A59" s="14"/>
      <c r="B59" s="149" t="s">
        <v>131</v>
      </c>
      <c r="C59" s="149"/>
      <c r="D59" s="102">
        <v>0</v>
      </c>
      <c r="E59" s="156"/>
      <c r="F59" s="200">
        <f>+IF((F55+F56+F57)&gt;0,0,D59)</f>
        <v>0</v>
      </c>
      <c r="G59" s="83" t="s">
        <v>44</v>
      </c>
    </row>
    <row r="60" spans="1:7" ht="20.25" customHeight="1">
      <c r="A60" s="14"/>
      <c r="B60" s="149" t="s">
        <v>130</v>
      </c>
      <c r="C60" s="149"/>
      <c r="D60" s="102">
        <v>0</v>
      </c>
      <c r="E60" s="420">
        <f>D60*0.5</f>
        <v>0</v>
      </c>
      <c r="F60" s="200">
        <f>IF(E60&gt;4,4,E60)</f>
        <v>0</v>
      </c>
      <c r="G60" s="83"/>
    </row>
    <row r="61" spans="1:7" ht="20.25" customHeight="1">
      <c r="A61" s="14"/>
      <c r="B61" s="433" t="s">
        <v>171</v>
      </c>
      <c r="C61" s="433"/>
      <c r="D61" s="102"/>
      <c r="E61" s="156"/>
      <c r="F61" s="200"/>
      <c r="G61" s="83"/>
    </row>
    <row r="62" spans="1:7" ht="20.25" customHeight="1">
      <c r="A62" s="14"/>
      <c r="B62" s="184" t="s">
        <v>407</v>
      </c>
      <c r="C62" s="184"/>
      <c r="D62" s="102">
        <v>0</v>
      </c>
      <c r="E62" s="186"/>
      <c r="F62" s="189">
        <f>D62</f>
        <v>0</v>
      </c>
      <c r="G62" s="83" t="s">
        <v>44</v>
      </c>
    </row>
    <row r="63" spans="1:7" ht="20.25" customHeight="1">
      <c r="A63" s="14"/>
      <c r="B63" s="78" t="s">
        <v>408</v>
      </c>
      <c r="C63" s="78"/>
      <c r="D63" s="102">
        <v>0</v>
      </c>
      <c r="E63" s="186"/>
      <c r="F63" s="189">
        <f>D63</f>
        <v>0</v>
      </c>
      <c r="G63" s="83" t="s">
        <v>44</v>
      </c>
    </row>
    <row r="64" spans="1:7" ht="20.25" customHeight="1">
      <c r="A64" s="14"/>
      <c r="B64" s="78" t="s">
        <v>418</v>
      </c>
      <c r="C64" s="78"/>
      <c r="D64" s="102">
        <v>0</v>
      </c>
      <c r="E64" s="186"/>
      <c r="F64" s="189">
        <f>IF(D64&gt;4,4,D64)</f>
        <v>0</v>
      </c>
      <c r="G64" s="83"/>
    </row>
    <row r="65" spans="1:7" ht="20.25" customHeight="1">
      <c r="A65" s="14"/>
      <c r="B65" s="78" t="s">
        <v>419</v>
      </c>
      <c r="C65" s="78"/>
      <c r="D65" s="102">
        <v>0</v>
      </c>
      <c r="E65" s="186"/>
      <c r="F65" s="189">
        <f>D65</f>
        <v>0</v>
      </c>
      <c r="G65" s="83" t="s">
        <v>44</v>
      </c>
    </row>
    <row r="66" spans="1:7" ht="20.25" customHeight="1">
      <c r="A66" s="14"/>
      <c r="B66" s="78" t="s">
        <v>409</v>
      </c>
      <c r="C66" s="78"/>
      <c r="D66" s="102">
        <v>0</v>
      </c>
      <c r="E66" s="186"/>
      <c r="F66" s="189">
        <f>IF(D66&gt;3,3,D66)</f>
        <v>0</v>
      </c>
      <c r="G66" s="83" t="s">
        <v>44</v>
      </c>
    </row>
    <row r="67" spans="1:7" ht="20.25" customHeight="1">
      <c r="A67" s="14"/>
      <c r="B67" s="78" t="s">
        <v>410</v>
      </c>
      <c r="C67" s="78"/>
      <c r="D67" s="102">
        <v>0</v>
      </c>
      <c r="E67" s="186"/>
      <c r="F67" s="189">
        <f>IF(D67&gt;4,4,D67)</f>
        <v>0</v>
      </c>
      <c r="G67" s="83" t="s">
        <v>44</v>
      </c>
    </row>
    <row r="68" spans="1:7" ht="20.25" customHeight="1">
      <c r="A68" s="14"/>
      <c r="B68" s="450" t="s">
        <v>60</v>
      </c>
      <c r="C68" s="450"/>
      <c r="D68" s="102"/>
      <c r="E68" s="186"/>
      <c r="F68" s="189"/>
      <c r="G68" s="83"/>
    </row>
    <row r="69" spans="1:7" ht="20.25" customHeight="1">
      <c r="A69" s="14"/>
      <c r="B69" s="451" t="s">
        <v>411</v>
      </c>
      <c r="C69" s="451"/>
      <c r="D69" s="102">
        <v>0</v>
      </c>
      <c r="E69" s="186"/>
      <c r="F69" s="189">
        <f>IF(D69&gt;3,3,D69)</f>
        <v>0</v>
      </c>
      <c r="G69" s="83" t="s">
        <v>44</v>
      </c>
    </row>
    <row r="70" spans="1:7" ht="20.25" customHeight="1">
      <c r="A70" s="14"/>
      <c r="B70" s="433" t="s">
        <v>169</v>
      </c>
      <c r="C70" s="433"/>
      <c r="D70" s="102"/>
      <c r="E70" s="186"/>
      <c r="F70" s="189"/>
      <c r="G70" s="83"/>
    </row>
    <row r="71" spans="1:7" ht="20.25" customHeight="1">
      <c r="A71" s="14"/>
      <c r="B71" s="184" t="s">
        <v>412</v>
      </c>
      <c r="C71" s="184"/>
      <c r="D71" s="102">
        <v>0</v>
      </c>
      <c r="E71" s="197"/>
      <c r="F71" s="189">
        <f>D71</f>
        <v>0</v>
      </c>
      <c r="G71" s="83" t="s">
        <v>44</v>
      </c>
    </row>
    <row r="72" spans="1:7" ht="20.25" customHeight="1">
      <c r="A72" s="14"/>
      <c r="B72" s="151" t="s">
        <v>139</v>
      </c>
      <c r="C72" s="151"/>
      <c r="D72" s="205" t="s">
        <v>2</v>
      </c>
      <c r="E72" s="186"/>
      <c r="F72" s="189" t="str">
        <f>+D72</f>
        <v>-</v>
      </c>
      <c r="G72" s="614"/>
    </row>
    <row r="73" spans="1:7" ht="20.25" customHeight="1">
      <c r="A73" s="14"/>
      <c r="B73" s="184" t="s">
        <v>413</v>
      </c>
      <c r="C73" s="184"/>
      <c r="D73" s="449">
        <v>0</v>
      </c>
      <c r="E73" s="186"/>
      <c r="F73" s="189">
        <f>D73</f>
        <v>0</v>
      </c>
      <c r="G73" s="92" t="s">
        <v>141</v>
      </c>
    </row>
    <row r="74" spans="1:7" ht="20.25" customHeight="1">
      <c r="A74" s="14"/>
      <c r="B74" s="151" t="s">
        <v>138</v>
      </c>
      <c r="C74" s="151"/>
      <c r="D74" s="449"/>
      <c r="E74" s="186"/>
      <c r="F74" s="189"/>
      <c r="G74" s="614"/>
    </row>
    <row r="75" spans="1:7" ht="20.25" customHeight="1">
      <c r="A75" s="14"/>
      <c r="B75" s="151" t="s">
        <v>414</v>
      </c>
      <c r="C75" s="151"/>
      <c r="D75" s="157">
        <v>0</v>
      </c>
      <c r="E75" s="197"/>
      <c r="F75" s="189">
        <f>D75</f>
        <v>0</v>
      </c>
      <c r="G75" s="83" t="s">
        <v>44</v>
      </c>
    </row>
    <row r="76" spans="1:7" ht="20.25" customHeight="1">
      <c r="A76" s="14"/>
      <c r="B76" s="151" t="s">
        <v>151</v>
      </c>
      <c r="C76" s="151"/>
      <c r="D76" s="157" t="s">
        <v>2</v>
      </c>
      <c r="E76" s="199"/>
      <c r="F76" s="431" t="str">
        <f>+D76</f>
        <v>-</v>
      </c>
      <c r="G76" s="92"/>
    </row>
    <row r="77" spans="1:7" ht="20.25" customHeight="1">
      <c r="A77" s="14"/>
      <c r="B77" s="184" t="s">
        <v>415</v>
      </c>
      <c r="C77" s="184"/>
      <c r="D77" s="102">
        <v>0</v>
      </c>
      <c r="E77" s="186"/>
      <c r="F77" s="189">
        <f>+D77</f>
        <v>0</v>
      </c>
      <c r="G77" s="104" t="s">
        <v>36</v>
      </c>
    </row>
    <row r="78" spans="1:7" ht="20.25" customHeight="1" thickBot="1">
      <c r="A78" s="48"/>
      <c r="B78" s="77" t="s">
        <v>51</v>
      </c>
      <c r="C78" s="184"/>
      <c r="D78" s="84" t="s">
        <v>2</v>
      </c>
      <c r="E78" s="196"/>
      <c r="F78" s="408" t="s">
        <v>2</v>
      </c>
      <c r="G78" s="11"/>
    </row>
    <row r="79" spans="1:7" ht="20.25" customHeight="1" thickBot="1" thickTop="1">
      <c r="A79" s="89"/>
      <c r="B79" s="866" t="s">
        <v>376</v>
      </c>
      <c r="C79" s="865">
        <f>SUM(F55:F78)</f>
        <v>0</v>
      </c>
      <c r="D79" s="857" t="s">
        <v>371</v>
      </c>
      <c r="E79" s="863">
        <v>0</v>
      </c>
      <c r="F79" s="864">
        <f>C79+E79</f>
        <v>0</v>
      </c>
      <c r="G79" s="782"/>
    </row>
    <row r="80" spans="1:7" ht="20.25" customHeight="1" thickTop="1">
      <c r="A80" s="87">
        <v>7</v>
      </c>
      <c r="B80" s="40" t="s">
        <v>146</v>
      </c>
      <c r="C80" s="40"/>
      <c r="D80" s="32"/>
      <c r="E80" s="32"/>
      <c r="F80" s="189"/>
      <c r="G80" s="78"/>
    </row>
    <row r="81" spans="1:7" ht="20.25" customHeight="1">
      <c r="A81" s="14"/>
      <c r="B81" s="82" t="s">
        <v>27</v>
      </c>
      <c r="C81" s="859"/>
      <c r="D81" s="432">
        <v>0</v>
      </c>
      <c r="E81" s="186"/>
      <c r="F81" s="189">
        <f>IF(D81&gt;8,8,D81)</f>
        <v>0</v>
      </c>
      <c r="G81" s="184"/>
    </row>
    <row r="82" spans="1:7" ht="20.25" customHeight="1" thickBot="1">
      <c r="A82" s="11"/>
      <c r="B82" s="79" t="s">
        <v>43</v>
      </c>
      <c r="C82" s="860"/>
      <c r="D82" s="105">
        <v>0</v>
      </c>
      <c r="E82" s="198"/>
      <c r="F82" s="189">
        <f>IF(D82&gt;6,6,D82)</f>
        <v>0</v>
      </c>
      <c r="G82" s="469" t="s">
        <v>147</v>
      </c>
    </row>
    <row r="83" spans="1:7" ht="20.25" customHeight="1" thickBot="1" thickTop="1">
      <c r="A83" s="11"/>
      <c r="B83" s="867" t="s">
        <v>374</v>
      </c>
      <c r="C83" s="856">
        <f>SUM(F81:F82)</f>
        <v>0</v>
      </c>
      <c r="D83" s="857" t="s">
        <v>371</v>
      </c>
      <c r="E83" s="863">
        <v>0</v>
      </c>
      <c r="F83" s="874">
        <f>C83+E83</f>
        <v>0</v>
      </c>
      <c r="G83" s="782"/>
    </row>
    <row r="84" spans="1:7" ht="20.25" customHeight="1" thickTop="1">
      <c r="A84" s="10">
        <v>8</v>
      </c>
      <c r="B84" s="17" t="s">
        <v>12</v>
      </c>
      <c r="C84" s="877"/>
      <c r="D84" s="182"/>
      <c r="E84" s="32"/>
      <c r="F84" s="880"/>
      <c r="G84" s="10"/>
    </row>
    <row r="85" spans="1:7" ht="20.25" customHeight="1">
      <c r="A85" s="10"/>
      <c r="B85" s="82" t="s">
        <v>148</v>
      </c>
      <c r="C85" s="882"/>
      <c r="D85" s="101">
        <v>0</v>
      </c>
      <c r="E85" s="186"/>
      <c r="F85" s="189">
        <f>+D85*2</f>
        <v>0</v>
      </c>
      <c r="G85" s="85" t="s">
        <v>29</v>
      </c>
    </row>
    <row r="86" spans="1:7" ht="20.25" customHeight="1">
      <c r="A86" s="12"/>
      <c r="B86" s="428" t="s">
        <v>132</v>
      </c>
      <c r="C86" s="882"/>
      <c r="D86" s="101">
        <v>0</v>
      </c>
      <c r="E86" s="186"/>
      <c r="F86" s="189">
        <f>+D86</f>
        <v>0</v>
      </c>
      <c r="G86" s="85" t="s">
        <v>28</v>
      </c>
    </row>
    <row r="87" spans="1:7" ht="20.25" customHeight="1">
      <c r="A87" s="88"/>
      <c r="B87" s="875" t="s">
        <v>169</v>
      </c>
      <c r="C87" s="878"/>
      <c r="D87" s="81" t="s">
        <v>2</v>
      </c>
      <c r="E87" s="195"/>
      <c r="F87" s="408" t="s">
        <v>2</v>
      </c>
      <c r="G87" s="88"/>
    </row>
    <row r="88" spans="1:7" ht="20.25" customHeight="1" thickBot="1">
      <c r="A88" s="88"/>
      <c r="B88" s="876" t="s">
        <v>245</v>
      </c>
      <c r="C88" s="879"/>
      <c r="D88" s="615">
        <v>0</v>
      </c>
      <c r="E88" s="195"/>
      <c r="F88" s="881">
        <f>D88</f>
        <v>0</v>
      </c>
      <c r="G88" s="88"/>
    </row>
    <row r="89" spans="1:7" ht="23.25" customHeight="1" thickBot="1" thickTop="1">
      <c r="A89" s="15"/>
      <c r="B89" s="883" t="s">
        <v>375</v>
      </c>
      <c r="C89" s="884">
        <f>IF((+F85+F86+F88)&gt;6,6,(+F85+F86+F88))</f>
        <v>0</v>
      </c>
      <c r="D89" s="885" t="s">
        <v>371</v>
      </c>
      <c r="E89" s="863">
        <v>0</v>
      </c>
      <c r="F89" s="330">
        <f>IF(SUM(F85:F86)&gt;6,6,SUM(F85:F86))</f>
        <v>0</v>
      </c>
      <c r="G89" s="782"/>
    </row>
    <row r="90" spans="1:7" ht="23.25" customHeight="1" thickTop="1">
      <c r="A90" s="15"/>
      <c r="B90" s="886" t="s">
        <v>384</v>
      </c>
      <c r="C90" s="887" t="str">
        <f>'สอน p1-3'!$I$2</f>
        <v>รอบที่ 2 (1 มค 61 ถึง 30 มิย 61)</v>
      </c>
      <c r="D90" s="888"/>
      <c r="E90" s="781"/>
      <c r="F90" s="889">
        <f>SUM(F93:F104)</f>
        <v>0</v>
      </c>
      <c r="G90" s="15"/>
    </row>
    <row r="91" spans="1:7" ht="19.5" customHeight="1">
      <c r="A91" s="12"/>
      <c r="B91" s="783"/>
      <c r="C91" s="783"/>
      <c r="D91" s="784"/>
      <c r="E91" s="51"/>
      <c r="F91" s="206"/>
      <c r="G91" s="12" t="s">
        <v>364</v>
      </c>
    </row>
    <row r="92" spans="1:7" ht="18.75" customHeight="1">
      <c r="A92" s="152"/>
      <c r="B92" s="924" t="s">
        <v>336</v>
      </c>
      <c r="C92" s="925" t="str">
        <f>C90</f>
        <v>รอบที่ 2 (1 มค 61 ถึง 30 มิย 61)</v>
      </c>
      <c r="D92" s="926"/>
      <c r="E92" s="926"/>
      <c r="F92" s="927"/>
      <c r="G92" s="10"/>
    </row>
    <row r="93" spans="1:7" ht="18.75" customHeight="1">
      <c r="A93" s="152"/>
      <c r="B93" s="892" t="s">
        <v>195</v>
      </c>
      <c r="C93" s="892"/>
      <c r="D93" s="891"/>
      <c r="E93" s="891"/>
      <c r="F93" s="456">
        <f>'สอน p1-3'!$H$71</f>
        <v>0</v>
      </c>
      <c r="G93" s="10"/>
    </row>
    <row r="94" spans="1:7" ht="18.75" customHeight="1">
      <c r="A94" s="152"/>
      <c r="B94" s="892" t="s">
        <v>194</v>
      </c>
      <c r="C94" s="892"/>
      <c r="D94" s="891"/>
      <c r="E94" s="891"/>
      <c r="F94" s="456">
        <f>'สอน p1-3'!$H$106</f>
        <v>0</v>
      </c>
      <c r="G94" s="10"/>
    </row>
    <row r="95" spans="1:7" ht="18.75" customHeight="1">
      <c r="A95" s="152"/>
      <c r="B95" s="892" t="s">
        <v>193</v>
      </c>
      <c r="C95" s="892"/>
      <c r="D95" s="891"/>
      <c r="E95" s="891"/>
      <c r="F95" s="456">
        <f>'สอน p1-3'!H134</f>
        <v>0</v>
      </c>
      <c r="G95" s="10"/>
    </row>
    <row r="96" spans="1:7" ht="18.75" customHeight="1">
      <c r="A96" s="152"/>
      <c r="B96" s="892" t="s">
        <v>196</v>
      </c>
      <c r="C96" s="892"/>
      <c r="D96" s="891"/>
      <c r="E96" s="891"/>
      <c r="F96" s="456">
        <f>'สอน p1-3'!H114</f>
        <v>0</v>
      </c>
      <c r="G96" s="10"/>
    </row>
    <row r="97" spans="1:7" ht="18.75" customHeight="1">
      <c r="A97" s="152"/>
      <c r="B97" s="892" t="s">
        <v>34</v>
      </c>
      <c r="C97" s="892"/>
      <c r="D97" s="891"/>
      <c r="E97" s="891"/>
      <c r="F97" s="456">
        <f>' Thesis p 4'!$E$36</f>
        <v>0</v>
      </c>
      <c r="G97" s="10"/>
    </row>
    <row r="98" spans="1:7" ht="18.75" customHeight="1">
      <c r="A98" s="152"/>
      <c r="B98" s="892" t="s">
        <v>25</v>
      </c>
      <c r="C98" s="892"/>
      <c r="D98" s="891"/>
      <c r="E98" s="891"/>
      <c r="F98" s="456">
        <f>'วิจัย 2.1-1.4 p 5-6'!$I$54</f>
        <v>0</v>
      </c>
      <c r="G98" s="10"/>
    </row>
    <row r="99" spans="1:7" ht="18.75" customHeight="1">
      <c r="A99" s="152"/>
      <c r="B99" s="892" t="s">
        <v>24</v>
      </c>
      <c r="C99" s="892"/>
      <c r="D99" s="891"/>
      <c r="E99" s="891"/>
      <c r="F99" s="456">
        <f>F18</f>
        <v>0</v>
      </c>
      <c r="G99" s="10"/>
    </row>
    <row r="100" spans="1:7" ht="18.75" customHeight="1">
      <c r="A100" s="152"/>
      <c r="B100" s="892" t="s">
        <v>30</v>
      </c>
      <c r="C100" s="892"/>
      <c r="D100" s="891"/>
      <c r="E100" s="891"/>
      <c r="F100" s="456">
        <f>F45</f>
        <v>0</v>
      </c>
      <c r="G100" s="10"/>
    </row>
    <row r="101" spans="1:7" ht="18.75" customHeight="1">
      <c r="A101" s="152"/>
      <c r="B101" s="892" t="s">
        <v>228</v>
      </c>
      <c r="C101" s="892"/>
      <c r="D101" s="891"/>
      <c r="E101" s="891"/>
      <c r="F101" s="456">
        <f>F53</f>
        <v>0</v>
      </c>
      <c r="G101" s="10"/>
    </row>
    <row r="102" spans="1:7" ht="18.75" customHeight="1">
      <c r="A102" s="152"/>
      <c r="B102" s="892" t="s">
        <v>229</v>
      </c>
      <c r="C102" s="892"/>
      <c r="D102" s="891"/>
      <c r="E102" s="891"/>
      <c r="F102" s="456">
        <f>F79</f>
        <v>0</v>
      </c>
      <c r="G102" s="10"/>
    </row>
    <row r="103" spans="1:7" ht="18.75" customHeight="1">
      <c r="A103" s="152"/>
      <c r="B103" s="892" t="s">
        <v>230</v>
      </c>
      <c r="C103" s="892"/>
      <c r="D103" s="891"/>
      <c r="E103" s="891"/>
      <c r="F103" s="456">
        <f>F83</f>
        <v>0</v>
      </c>
      <c r="G103" s="10"/>
    </row>
    <row r="104" spans="1:7" ht="18.75" customHeight="1">
      <c r="A104" s="152"/>
      <c r="B104" s="892" t="s">
        <v>231</v>
      </c>
      <c r="C104" s="892"/>
      <c r="D104" s="891"/>
      <c r="E104" s="891"/>
      <c r="F104" s="456">
        <f>F89</f>
        <v>0</v>
      </c>
      <c r="G104" s="10"/>
    </row>
    <row r="105" spans="1:7" ht="18" customHeight="1" thickBot="1">
      <c r="A105" s="152"/>
      <c r="B105" s="890"/>
      <c r="C105" s="890"/>
      <c r="D105" s="891"/>
      <c r="E105" s="891"/>
      <c r="F105" s="456"/>
      <c r="G105" s="10"/>
    </row>
    <row r="106" spans="1:7" ht="21" customHeight="1">
      <c r="A106" s="152"/>
      <c r="B106" s="893" t="s">
        <v>143</v>
      </c>
      <c r="C106" s="894"/>
      <c r="D106" s="895"/>
      <c r="E106" s="895"/>
      <c r="F106" s="460"/>
      <c r="G106" s="10"/>
    </row>
    <row r="107" spans="1:7" ht="24" customHeight="1">
      <c r="A107" s="152"/>
      <c r="B107" s="896" t="s">
        <v>31</v>
      </c>
      <c r="C107" s="897"/>
      <c r="D107" s="898"/>
      <c r="E107" s="898"/>
      <c r="F107" s="461" t="e">
        <f>+(F93+F94+F95+F96+F97)/F90*10</f>
        <v>#DIV/0!</v>
      </c>
      <c r="G107" s="10"/>
    </row>
    <row r="108" spans="1:7" ht="24" customHeight="1">
      <c r="A108" s="152"/>
      <c r="B108" s="899" t="s">
        <v>25</v>
      </c>
      <c r="C108" s="900"/>
      <c r="D108" s="898"/>
      <c r="E108" s="898"/>
      <c r="F108" s="461" t="e">
        <f>F98/F90*10</f>
        <v>#DIV/0!</v>
      </c>
      <c r="G108" s="10"/>
    </row>
    <row r="109" spans="1:7" ht="24" customHeight="1">
      <c r="A109" s="152"/>
      <c r="B109" s="899" t="s">
        <v>24</v>
      </c>
      <c r="C109" s="900"/>
      <c r="D109" s="898"/>
      <c r="E109" s="898"/>
      <c r="F109" s="461" t="e">
        <f>F99/F90*10</f>
        <v>#DIV/0!</v>
      </c>
      <c r="G109" s="10"/>
    </row>
    <row r="110" spans="1:7" ht="24" customHeight="1">
      <c r="A110" s="152"/>
      <c r="B110" s="901" t="s">
        <v>30</v>
      </c>
      <c r="C110" s="902"/>
      <c r="D110" s="898"/>
      <c r="E110" s="898"/>
      <c r="F110" s="461" t="e">
        <f>F100/F90*10</f>
        <v>#DIV/0!</v>
      </c>
      <c r="G110" s="10"/>
    </row>
    <row r="111" spans="1:7" ht="24" customHeight="1">
      <c r="A111" s="152"/>
      <c r="B111" s="901" t="s">
        <v>246</v>
      </c>
      <c r="C111" s="902"/>
      <c r="D111" s="898"/>
      <c r="E111" s="898"/>
      <c r="F111" s="461" t="e">
        <f>F101*10/F90</f>
        <v>#DIV/0!</v>
      </c>
      <c r="G111" s="10"/>
    </row>
    <row r="112" spans="1:7" ht="24" customHeight="1">
      <c r="A112" s="152"/>
      <c r="B112" s="901" t="s">
        <v>229</v>
      </c>
      <c r="C112" s="902"/>
      <c r="D112" s="898"/>
      <c r="E112" s="898"/>
      <c r="F112" s="461" t="e">
        <f>F102/F90*10</f>
        <v>#DIV/0!</v>
      </c>
      <c r="G112" s="10"/>
    </row>
    <row r="113" spans="1:7" ht="24" customHeight="1">
      <c r="A113" s="152"/>
      <c r="B113" s="901" t="s">
        <v>230</v>
      </c>
      <c r="C113" s="902"/>
      <c r="D113" s="898"/>
      <c r="E113" s="898"/>
      <c r="F113" s="461" t="e">
        <f>F103/F90*10</f>
        <v>#DIV/0!</v>
      </c>
      <c r="G113" s="10"/>
    </row>
    <row r="114" spans="1:7" ht="24" customHeight="1" thickBot="1">
      <c r="A114" s="152"/>
      <c r="B114" s="903" t="s">
        <v>247</v>
      </c>
      <c r="C114" s="904"/>
      <c r="D114" s="905"/>
      <c r="E114" s="905"/>
      <c r="F114" s="462" t="e">
        <f>F104/F90*10</f>
        <v>#DIV/0!</v>
      </c>
      <c r="G114" s="152"/>
    </row>
    <row r="115" spans="1:7" ht="16.5" customHeight="1">
      <c r="A115" s="152"/>
      <c r="B115" s="902"/>
      <c r="C115" s="902"/>
      <c r="D115" s="898"/>
      <c r="E115" s="898"/>
      <c r="F115" s="190"/>
      <c r="G115" s="152"/>
    </row>
    <row r="116" spans="1:7" ht="24" customHeight="1">
      <c r="A116" s="10"/>
      <c r="B116" s="10" t="s">
        <v>144</v>
      </c>
      <c r="C116" s="10"/>
      <c r="D116" s="457"/>
      <c r="E116" s="457"/>
      <c r="F116" s="190"/>
      <c r="G116" s="152"/>
    </row>
    <row r="117" spans="1:7" ht="24.75" customHeight="1">
      <c r="A117" s="10"/>
      <c r="B117" s="435" t="str">
        <f>'สอน p1-3'!$B$3</f>
        <v>อ.</v>
      </c>
      <c r="C117" s="435"/>
      <c r="D117" s="434" t="s">
        <v>133</v>
      </c>
      <c r="E117" s="63"/>
      <c r="F117" s="191"/>
      <c r="G117" s="10"/>
    </row>
    <row r="118" spans="2:6" ht="24.75" customHeight="1">
      <c r="B118" s="1" t="s">
        <v>57</v>
      </c>
      <c r="F118" s="192"/>
    </row>
    <row r="119" spans="2:6" ht="24.75" customHeight="1">
      <c r="B119" s="484" t="s">
        <v>220</v>
      </c>
      <c r="C119" s="484"/>
      <c r="D119" s="485" t="str">
        <f>'สอน p1-3'!$F$3</f>
        <v>การพยาบาล....</v>
      </c>
      <c r="F119" s="193"/>
    </row>
    <row r="120" spans="2:6" ht="24.75" customHeight="1">
      <c r="B120" s="149"/>
      <c r="C120" s="149"/>
      <c r="F120" s="193"/>
    </row>
    <row r="121" ht="18.75">
      <c r="F121" s="193"/>
    </row>
    <row r="122" ht="18.75">
      <c r="F122" s="193"/>
    </row>
    <row r="123" ht="18.75">
      <c r="F123" s="193"/>
    </row>
    <row r="124" ht="18.75">
      <c r="F124" s="193"/>
    </row>
  </sheetData>
  <sheetProtection password="CC19" sheet="1" formatCells="0" formatColumns="0" formatRows="0"/>
  <printOptions/>
  <pageMargins left="0.354330708661417" right="0.354330708661417" top="0.196850393700787" bottom="0" header="0.118110236220472" footer="0.118110236220472"/>
  <pageSetup horizontalDpi="600" verticalDpi="600" orientation="portrait" paperSize="9" r:id="rId3"/>
  <headerFooter alignWithMargins="0">
    <oddFooter>&amp;C&amp;12 5</oddFooter>
  </headerFooter>
  <rowBreaks count="1" manualBreakCount="1">
    <brk id="4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21.75"/>
  <cols>
    <col min="1" max="1" width="10.140625" style="508" customWidth="1"/>
    <col min="2" max="2" width="8.8515625" style="508" customWidth="1"/>
    <col min="3" max="3" width="11.7109375" style="508" customWidth="1"/>
    <col min="4" max="4" width="9.28125" style="508" customWidth="1"/>
    <col min="5" max="5" width="10.421875" style="508" customWidth="1"/>
    <col min="6" max="10" width="9.28125" style="508" customWidth="1"/>
  </cols>
  <sheetData>
    <row r="1" spans="1:10" ht="24" customHeight="1">
      <c r="A1" s="841"/>
      <c r="B1" s="960" t="s">
        <v>340</v>
      </c>
      <c r="C1" s="960"/>
      <c r="D1" s="960"/>
      <c r="E1" s="960"/>
      <c r="F1" s="960"/>
      <c r="G1" s="960"/>
      <c r="H1" s="960"/>
      <c r="I1" s="841"/>
      <c r="J1" s="841" t="s">
        <v>365</v>
      </c>
    </row>
    <row r="2" spans="1:10" ht="24" customHeight="1">
      <c r="A2" s="841"/>
      <c r="B2" s="960" t="s">
        <v>341</v>
      </c>
      <c r="C2" s="960"/>
      <c r="D2" s="960"/>
      <c r="E2" s="960"/>
      <c r="F2" s="960"/>
      <c r="G2" s="960"/>
      <c r="H2" s="960"/>
      <c r="I2" s="841"/>
      <c r="J2" s="841"/>
    </row>
    <row r="3" spans="1:10" ht="24" customHeight="1">
      <c r="A3" s="966" t="s">
        <v>378</v>
      </c>
      <c r="B3" s="966"/>
      <c r="C3" s="966"/>
      <c r="D3" s="966"/>
      <c r="E3" s="966"/>
      <c r="F3" s="966"/>
      <c r="G3" s="966"/>
      <c r="H3" s="966"/>
      <c r="I3" s="966"/>
      <c r="J3" s="966"/>
    </row>
    <row r="4" spans="1:10" ht="24" customHeight="1">
      <c r="A4" s="790" t="str">
        <f>'สอน p1-3'!A3</f>
        <v>ชื่อ </v>
      </c>
      <c r="B4" s="818" t="str">
        <f>'สอน p1-3'!B3</f>
        <v>อ.</v>
      </c>
      <c r="C4" s="790"/>
      <c r="D4" s="790"/>
      <c r="E4" s="790" t="str">
        <f>'สอน p1-3'!E3</f>
        <v>สาขาวิชา</v>
      </c>
      <c r="F4" s="818" t="str">
        <f>'สอน p1-3'!F3</f>
        <v>การพยาบาล....</v>
      </c>
      <c r="G4" s="790"/>
      <c r="H4" s="790"/>
      <c r="I4" s="790"/>
      <c r="J4" s="790"/>
    </row>
    <row r="5" spans="1:10" ht="24" customHeight="1">
      <c r="A5" s="969" t="s">
        <v>343</v>
      </c>
      <c r="B5" s="970"/>
      <c r="C5" s="970"/>
      <c r="D5" s="970"/>
      <c r="E5" s="970"/>
      <c r="F5" s="970"/>
      <c r="G5" s="970"/>
      <c r="H5" s="970"/>
      <c r="I5" s="970"/>
      <c r="J5" s="971"/>
    </row>
    <row r="6" spans="1:10" ht="24" customHeight="1">
      <c r="A6" s="972" t="s">
        <v>337</v>
      </c>
      <c r="B6" s="973"/>
      <c r="C6" s="974"/>
      <c r="D6" s="975" t="s">
        <v>338</v>
      </c>
      <c r="E6" s="976"/>
      <c r="F6" s="977"/>
      <c r="G6" s="963" t="s">
        <v>339</v>
      </c>
      <c r="H6" s="964"/>
      <c r="I6" s="965"/>
      <c r="J6" s="791" t="s">
        <v>221</v>
      </c>
    </row>
    <row r="7" spans="1:10" ht="24" customHeight="1">
      <c r="A7" s="792" t="s">
        <v>197</v>
      </c>
      <c r="B7" s="788" t="s">
        <v>198</v>
      </c>
      <c r="C7" s="789" t="s">
        <v>199</v>
      </c>
      <c r="D7" s="787" t="s">
        <v>197</v>
      </c>
      <c r="E7" s="788" t="s">
        <v>198</v>
      </c>
      <c r="F7" s="789" t="s">
        <v>199</v>
      </c>
      <c r="G7" s="787" t="s">
        <v>197</v>
      </c>
      <c r="H7" s="788" t="s">
        <v>198</v>
      </c>
      <c r="I7" s="789" t="s">
        <v>199</v>
      </c>
      <c r="J7" s="793" t="s">
        <v>7</v>
      </c>
    </row>
    <row r="8" spans="1:10" ht="24" customHeight="1">
      <c r="A8" s="794">
        <f>'สอน p1-3'!$C$72</f>
        <v>0</v>
      </c>
      <c r="B8" s="795">
        <f>'สอน p1-3'!$D$72</f>
        <v>0</v>
      </c>
      <c r="C8" s="796">
        <f>'สอน p1-3'!$E$72</f>
        <v>0</v>
      </c>
      <c r="D8" s="797">
        <f>'สอน p1-3'!$C$107</f>
        <v>0</v>
      </c>
      <c r="E8" s="798">
        <f>'สอน p1-3'!$D$107</f>
        <v>0</v>
      </c>
      <c r="F8" s="799">
        <f>'สอน p1-3'!$E$107</f>
        <v>0</v>
      </c>
      <c r="G8" s="800">
        <f>'สอน p1-3'!$C$135</f>
        <v>0</v>
      </c>
      <c r="H8" s="800">
        <f>'สอน p1-3'!$D$135</f>
        <v>0</v>
      </c>
      <c r="I8" s="800">
        <f>'สอน p1-3'!$E$135</f>
        <v>0</v>
      </c>
      <c r="J8" s="801">
        <f>SUM(A8:I8)</f>
        <v>0</v>
      </c>
    </row>
    <row r="9" spans="1:10" ht="15" customHeight="1">
      <c r="A9" s="802"/>
      <c r="B9" s="802"/>
      <c r="C9" s="802"/>
      <c r="D9" s="802"/>
      <c r="E9" s="802"/>
      <c r="F9" s="802"/>
      <c r="G9" s="802"/>
      <c r="H9" s="802"/>
      <c r="I9" s="802"/>
      <c r="J9" s="802"/>
    </row>
    <row r="10" spans="1:12" s="786" customFormat="1" ht="24" customHeight="1">
      <c r="A10" s="816"/>
      <c r="B10" s="808"/>
      <c r="C10" s="809"/>
      <c r="D10" s="809"/>
      <c r="E10" s="909" t="s">
        <v>346</v>
      </c>
      <c r="F10" s="910" t="s">
        <v>347</v>
      </c>
      <c r="G10" s="911" t="s">
        <v>347</v>
      </c>
      <c r="H10" s="912" t="s">
        <v>347</v>
      </c>
      <c r="I10" s="967" t="s">
        <v>348</v>
      </c>
      <c r="J10" s="968"/>
      <c r="K10" s="821"/>
      <c r="L10" s="819"/>
    </row>
    <row r="11" spans="1:12" s="786" customFormat="1" ht="24" customHeight="1" thickBot="1">
      <c r="A11" s="959" t="s">
        <v>344</v>
      </c>
      <c r="B11" s="959"/>
      <c r="C11" s="959"/>
      <c r="D11" s="812"/>
      <c r="E11" s="810" t="s">
        <v>345</v>
      </c>
      <c r="F11" s="817" t="s">
        <v>350</v>
      </c>
      <c r="G11" s="830" t="s">
        <v>350</v>
      </c>
      <c r="H11" s="826" t="s">
        <v>350</v>
      </c>
      <c r="I11" s="961" t="s">
        <v>349</v>
      </c>
      <c r="J11" s="962"/>
      <c r="K11" s="822" t="s">
        <v>4</v>
      </c>
      <c r="L11" s="819"/>
    </row>
    <row r="12" spans="1:12" s="786" customFormat="1" ht="24" customHeight="1" thickBot="1" thickTop="1">
      <c r="A12" s="806"/>
      <c r="B12" s="806"/>
      <c r="C12" s="806" t="s">
        <v>359</v>
      </c>
      <c r="D12" s="916">
        <v>1</v>
      </c>
      <c r="E12" s="825" t="s">
        <v>355</v>
      </c>
      <c r="F12" s="817" t="s">
        <v>360</v>
      </c>
      <c r="G12" s="831" t="s">
        <v>361</v>
      </c>
      <c r="H12" s="827" t="s">
        <v>362</v>
      </c>
      <c r="I12" s="811" t="s">
        <v>355</v>
      </c>
      <c r="J12" s="824">
        <v>1</v>
      </c>
      <c r="K12" s="823"/>
      <c r="L12" s="819"/>
    </row>
    <row r="13" spans="1:12" s="786" customFormat="1" ht="24" customHeight="1" thickTop="1">
      <c r="A13" s="785" t="s">
        <v>342</v>
      </c>
      <c r="B13" s="785"/>
      <c r="C13" s="785"/>
      <c r="D13" s="785"/>
      <c r="E13" s="914">
        <v>0</v>
      </c>
      <c r="F13" s="814">
        <v>50</v>
      </c>
      <c r="G13" s="832">
        <v>40</v>
      </c>
      <c r="H13" s="828">
        <v>40</v>
      </c>
      <c r="I13" s="834">
        <f aca="true" t="shared" si="0" ref="I13:I18">IF($D$12=1,E13*F13/100,IF($D$12=2,E13*G13/100,IF($D$12=3,E13*H13/100,0)))</f>
        <v>0</v>
      </c>
      <c r="J13" s="838">
        <f aca="true" t="shared" si="1" ref="J13:J19">I13*20</f>
        <v>0</v>
      </c>
      <c r="K13" s="822"/>
      <c r="L13" s="819"/>
    </row>
    <row r="14" spans="1:12" s="786" customFormat="1" ht="24" customHeight="1">
      <c r="A14" s="804" t="s">
        <v>351</v>
      </c>
      <c r="B14" s="785"/>
      <c r="C14" s="785"/>
      <c r="D14" s="785"/>
      <c r="E14" s="914">
        <v>0</v>
      </c>
      <c r="F14" s="814">
        <v>30</v>
      </c>
      <c r="G14" s="832">
        <v>30</v>
      </c>
      <c r="H14" s="828">
        <v>0</v>
      </c>
      <c r="I14" s="835">
        <f t="shared" si="0"/>
        <v>0</v>
      </c>
      <c r="J14" s="838">
        <f t="shared" si="1"/>
        <v>0</v>
      </c>
      <c r="K14" s="822"/>
      <c r="L14" s="819"/>
    </row>
    <row r="15" spans="1:12" s="786" customFormat="1" ht="24" customHeight="1">
      <c r="A15" s="804" t="s">
        <v>352</v>
      </c>
      <c r="B15" s="785"/>
      <c r="C15" s="785"/>
      <c r="D15" s="785"/>
      <c r="E15" s="914">
        <v>0</v>
      </c>
      <c r="F15" s="814">
        <v>10</v>
      </c>
      <c r="G15" s="832">
        <v>10</v>
      </c>
      <c r="H15" s="828">
        <v>0</v>
      </c>
      <c r="I15" s="835">
        <f t="shared" si="0"/>
        <v>0</v>
      </c>
      <c r="J15" s="838">
        <f t="shared" si="1"/>
        <v>0</v>
      </c>
      <c r="K15" s="822"/>
      <c r="L15" s="819"/>
    </row>
    <row r="16" spans="1:12" s="786" customFormat="1" ht="24">
      <c r="A16" s="804" t="s">
        <v>353</v>
      </c>
      <c r="B16" s="785"/>
      <c r="C16" s="785"/>
      <c r="D16" s="785"/>
      <c r="E16" s="914">
        <v>0</v>
      </c>
      <c r="F16" s="814">
        <v>3</v>
      </c>
      <c r="G16" s="832">
        <v>3</v>
      </c>
      <c r="H16" s="828">
        <v>0</v>
      </c>
      <c r="I16" s="835">
        <f t="shared" si="0"/>
        <v>0</v>
      </c>
      <c r="J16" s="838">
        <f t="shared" si="1"/>
        <v>0</v>
      </c>
      <c r="K16" s="822"/>
      <c r="L16" s="819"/>
    </row>
    <row r="17" spans="1:12" s="786" customFormat="1" ht="24">
      <c r="A17" s="820" t="s">
        <v>354</v>
      </c>
      <c r="B17" s="812"/>
      <c r="C17" s="812"/>
      <c r="D17" s="812"/>
      <c r="E17" s="914">
        <v>0</v>
      </c>
      <c r="F17" s="814">
        <v>7</v>
      </c>
      <c r="G17" s="832">
        <v>7</v>
      </c>
      <c r="H17" s="828">
        <v>10</v>
      </c>
      <c r="I17" s="835">
        <f t="shared" si="0"/>
        <v>0</v>
      </c>
      <c r="J17" s="838">
        <f t="shared" si="1"/>
        <v>0</v>
      </c>
      <c r="K17" s="822"/>
      <c r="L17" s="819"/>
    </row>
    <row r="18" spans="1:12" s="786" customFormat="1" ht="24">
      <c r="A18" s="805" t="s">
        <v>358</v>
      </c>
      <c r="B18" s="806"/>
      <c r="C18" s="806"/>
      <c r="D18" s="806"/>
      <c r="E18" s="915">
        <v>0</v>
      </c>
      <c r="F18" s="813">
        <v>0</v>
      </c>
      <c r="G18" s="832">
        <v>10</v>
      </c>
      <c r="H18" s="828">
        <v>50</v>
      </c>
      <c r="I18" s="836">
        <f t="shared" si="0"/>
        <v>0</v>
      </c>
      <c r="J18" s="838">
        <f t="shared" si="1"/>
        <v>0</v>
      </c>
      <c r="K18" s="823"/>
      <c r="L18" s="819"/>
    </row>
    <row r="19" spans="1:12" s="786" customFormat="1" ht="24">
      <c r="A19" s="803" t="s">
        <v>3</v>
      </c>
      <c r="B19" s="807"/>
      <c r="C19" s="807"/>
      <c r="D19" s="807"/>
      <c r="E19" s="811"/>
      <c r="F19" s="815">
        <f>SUM(F13:F18)</f>
        <v>100</v>
      </c>
      <c r="G19" s="833">
        <f>SUM(G13:G18)</f>
        <v>100</v>
      </c>
      <c r="H19" s="829">
        <f>SUM(H13:H18)</f>
        <v>100</v>
      </c>
      <c r="I19" s="837">
        <f>SUM(I13:I18)</f>
        <v>0</v>
      </c>
      <c r="J19" s="839">
        <f t="shared" si="1"/>
        <v>0</v>
      </c>
      <c r="K19" s="823"/>
      <c r="L19" s="819"/>
    </row>
    <row r="20" spans="1:10" ht="21.75">
      <c r="A20" s="509"/>
      <c r="B20" s="509"/>
      <c r="C20" s="509"/>
      <c r="D20" s="509"/>
      <c r="E20" s="509"/>
      <c r="F20" s="509"/>
      <c r="G20" s="509"/>
      <c r="H20" s="509"/>
      <c r="I20" s="509"/>
      <c r="J20" s="509"/>
    </row>
    <row r="21" spans="1:10" ht="21.75">
      <c r="A21" s="868" t="s">
        <v>379</v>
      </c>
      <c r="B21" s="913" t="s">
        <v>387</v>
      </c>
      <c r="C21" s="509"/>
      <c r="D21" s="509"/>
      <c r="E21" s="509"/>
      <c r="F21" s="509"/>
      <c r="G21" s="509"/>
      <c r="H21" s="509"/>
      <c r="I21" s="509"/>
      <c r="J21" s="509"/>
    </row>
    <row r="22" spans="1:10" ht="21.75">
      <c r="A22" s="509" t="s">
        <v>380</v>
      </c>
      <c r="B22" s="509">
        <v>1</v>
      </c>
      <c r="C22" s="869" t="s">
        <v>381</v>
      </c>
      <c r="D22" s="509"/>
      <c r="E22" s="509"/>
      <c r="F22" s="509"/>
      <c r="G22" s="509"/>
      <c r="H22" s="509"/>
      <c r="I22" s="509"/>
      <c r="J22" s="509"/>
    </row>
    <row r="23" spans="1:3" ht="21.75">
      <c r="A23" s="508" t="s">
        <v>380</v>
      </c>
      <c r="B23" s="871">
        <v>2</v>
      </c>
      <c r="C23" s="870" t="s">
        <v>382</v>
      </c>
    </row>
    <row r="24" spans="1:3" ht="21.75">
      <c r="A24" s="508" t="s">
        <v>380</v>
      </c>
      <c r="B24" s="872">
        <v>3</v>
      </c>
      <c r="C24" s="870" t="s">
        <v>383</v>
      </c>
    </row>
  </sheetData>
  <sheetProtection password="CC19" sheet="1" formatCells="0" formatColumns="0"/>
  <mergeCells count="10">
    <mergeCell ref="A11:C11"/>
    <mergeCell ref="B1:H1"/>
    <mergeCell ref="B2:H2"/>
    <mergeCell ref="I11:J11"/>
    <mergeCell ref="G6:I6"/>
    <mergeCell ref="A3:J3"/>
    <mergeCell ref="I10:J10"/>
    <mergeCell ref="A5:J5"/>
    <mergeCell ref="A6:C6"/>
    <mergeCell ref="D6:F6"/>
  </mergeCells>
  <printOptions/>
  <pageMargins left="0.31496062992126" right="0.31496062992126" top="0.196850393700787" bottom="0.15748031496063" header="0.118110236220472" footer="0.31496062992126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Surasak</dc:creator>
  <cp:keywords/>
  <dc:description/>
  <cp:lastModifiedBy>Admin</cp:lastModifiedBy>
  <cp:lastPrinted>2017-08-01T05:48:08Z</cp:lastPrinted>
  <dcterms:created xsi:type="dcterms:W3CDTF">2002-08-12T07:13:18Z</dcterms:created>
  <dcterms:modified xsi:type="dcterms:W3CDTF">2018-08-16T08:01:25Z</dcterms:modified>
  <cp:category/>
  <cp:version/>
  <cp:contentType/>
  <cp:contentStatus/>
</cp:coreProperties>
</file>