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715" windowHeight="5850" activeTab="0"/>
  </bookViews>
  <sheets>
    <sheet name="สอนภาค1 " sheetId="1" r:id="rId1"/>
    <sheet name="สอนภาค2 p4-6" sheetId="2" r:id="rId2"/>
    <sheet name=" Thesis p 7" sheetId="3" r:id="rId3"/>
    <sheet name="วิจัย 2.1-1.4 p 8-10" sheetId="4" r:id="rId4"/>
    <sheet name="อื่น ๆ P11-12 สรุป" sheetId="5" r:id="rId5"/>
    <sheet name="ผลสัมฤทธ์" sheetId="6" r:id="rId6"/>
  </sheets>
  <definedNames>
    <definedName name="_xlnm.Print_Area" localSheetId="2">' Thesis p 7'!$A$1:$F$36</definedName>
    <definedName name="_xlnm.Print_Area" localSheetId="5">'ผลสัมฤทธ์'!$A$1:$K$31</definedName>
    <definedName name="_xlnm.Print_Area" localSheetId="3">'วิจัย 2.1-1.4 p 8-10'!$A$1:$L$54</definedName>
    <definedName name="_xlnm.Print_Area" localSheetId="1">'สอนภาค2 p4-6'!$A$1:$I$138</definedName>
    <definedName name="_xlnm.Print_Area" localSheetId="4">'อื่น ๆ P11-12 สรุป'!$A$1:$G$126</definedName>
    <definedName name="_xlnm.Print_Titles" localSheetId="0">'สอนภาค1 '!$5:$6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iLLuSioN</author>
    <author>Surasak</author>
  </authors>
  <commentList>
    <comment ref="C3" authorId="0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C11" authorId="0">
      <text>
        <r>
          <rPr>
            <sz val="9"/>
            <rFont val="Tahoma"/>
            <family val="2"/>
          </rPr>
          <t>นิสิต</t>
        </r>
      </text>
    </comment>
    <comment ref="D11" authorId="0">
      <text>
        <r>
          <rPr>
            <sz val="9"/>
            <rFont val="Tahoma"/>
            <family val="2"/>
          </rPr>
          <t xml:space="preserve">ชั่วโมง
</t>
        </r>
      </text>
    </comment>
    <comment ref="C28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1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36" authorId="0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0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0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0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55" authorId="1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1">
      <text>
        <r>
          <rPr>
            <sz val="8"/>
            <rFont val="Tahoma"/>
            <family val="2"/>
          </rPr>
          <t xml:space="preserve">
 ชั่วโมง
 </t>
        </r>
      </text>
    </comment>
    <comment ref="C69" authorId="1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0" authorId="1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sz val="8"/>
            <rFont val="Tahoma"/>
            <family val="2"/>
          </rPr>
          <t>จำนวนนิสิต</t>
        </r>
      </text>
    </comment>
    <comment ref="D86" authorId="0">
      <text>
        <r>
          <rPr>
            <sz val="8"/>
            <rFont val="Tahoma"/>
            <family val="2"/>
          </rPr>
          <t>ชั่วโมง lab</t>
        </r>
      </text>
    </comment>
    <comment ref="I86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90" authorId="0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0" authorId="0">
      <text>
        <r>
          <rPr>
            <sz val="8"/>
            <rFont val="Tahoma"/>
            <family val="2"/>
          </rPr>
          <t>ชั่วโมงสัมมนา</t>
        </r>
      </text>
    </comment>
    <comment ref="D103" authorId="1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I103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2" authorId="1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3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3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4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4" authorId="1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I118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2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26" authorId="0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26" authorId="0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I126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29" authorId="0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29" authorId="0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I129" authorId="2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iLLuSioN</author>
    <author>Surasak</author>
    <author>Admin</author>
  </authors>
  <commentList>
    <comment ref="D103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5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3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0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0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2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2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86" authorId="2">
      <text>
        <r>
          <rPr>
            <sz val="8"/>
            <rFont val="Tahoma"/>
            <family val="2"/>
          </rPr>
          <t>จำนวนนิสิต</t>
        </r>
      </text>
    </comment>
    <comment ref="D86" authorId="2">
      <text>
        <r>
          <rPr>
            <sz val="8"/>
            <rFont val="Tahoma"/>
            <family val="2"/>
          </rPr>
          <t>ชั่วโมง lab</t>
        </r>
      </text>
    </comment>
    <comment ref="C90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0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I13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6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1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86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3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8" authorId="2">
      <text>
        <r>
          <rPr>
            <sz val="9"/>
            <rFont val="Tahoma"/>
            <family val="2"/>
          </rPr>
          <t>นิสิต</t>
        </r>
      </text>
    </comment>
    <comment ref="D8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3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3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3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3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2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3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4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4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4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Surasak</author>
    <author>Admin</author>
  </authors>
  <commentList>
    <comment ref="F4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5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3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2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17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sz val="12"/>
            <rFont val="Angsana New"/>
            <family val="1"/>
          </rPr>
          <t>หัวหน้างานวิจัย/ ผู้รับผิดชอบหลัก/ Coresponding author</t>
        </r>
      </text>
    </comment>
  </commentList>
</comments>
</file>

<file path=xl/comments5.xml><?xml version="1.0" encoding="utf-8"?>
<comments xmlns="http://schemas.openxmlformats.org/spreadsheetml/2006/main">
  <authors>
    <author>iLLuSioN</author>
    <author>Admin</author>
  </authors>
  <commentList>
    <comment ref="D37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49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5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7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4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0" authorId="1">
      <text>
        <r>
          <rPr>
            <sz val="8"/>
            <rFont val="Tahoma"/>
            <family val="2"/>
          </rPr>
          <t>ระบจำนวนชุด</t>
        </r>
      </text>
    </comment>
    <comment ref="D51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B69" authorId="1">
      <text>
        <r>
          <rPr>
            <sz val="9"/>
            <rFont val="Angsana New"/>
            <family val="1"/>
          </rPr>
          <t>กรรมการจริยธรรม ห้อง LRC ฝ่ายวิชาการ วิเทศสัมพันธ์ กิจกรรมนิสิต วิจัยและบริการวิชาการ ฯลฯ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15" authorId="0">
      <text>
        <r>
          <rPr>
            <b/>
            <sz val="9"/>
            <rFont val="Tahoma"/>
            <family val="0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6" authorId="0">
      <text>
        <r>
          <rPr>
            <b/>
            <sz val="10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<sst xmlns="http://schemas.openxmlformats.org/spreadsheetml/2006/main" count="818" uniqueCount="447">
  <si>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</si>
  <si>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</si>
  <si>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</si>
  <si>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</si>
  <si>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</si>
  <si>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</si>
  <si>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</si>
  <si>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</si>
  <si>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</si>
  <si>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</si>
  <si>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</si>
  <si>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</si>
  <si>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งานทำนุบำรุงศิลปฯ (รวมไม่เกิน 6 หน่วย)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</si>
  <si>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</si>
  <si>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</si>
  <si>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</si>
  <si>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</si>
  <si>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</si>
  <si>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</si>
  <si>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</si>
  <si>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</si>
  <si>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</si>
  <si>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</si>
  <si>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</si>
  <si>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</si>
  <si>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</si>
  <si>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</si>
  <si>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</si>
  <si>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</si>
  <si>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</si>
  <si>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</si>
  <si>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</si>
  <si>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</si>
  <si>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</si>
  <si>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</si>
  <si>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</si>
  <si>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</si>
  <si>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</si>
  <si>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</si>
  <si>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3) ปฏิบัติ </t>
    </r>
    <r>
      <rPr>
        <sz val="12"/>
        <color indexed="10"/>
        <rFont val="Cordia New"/>
        <family val="2"/>
      </rPr>
      <t>วิชา.........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</si>
  <si>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</si>
  <si>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</si>
  <si>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</si>
  <si>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</si>
  <si>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</si>
  <si>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</si>
  <si>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</si>
  <si>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</si>
  <si>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</si>
  <si>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</si>
  <si>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</si>
  <si>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</si>
  <si>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</si>
  <si>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</si>
  <si>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</si>
  <si>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</si>
  <si>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</si>
  <si>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</si>
  <si>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</si>
  <si>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</si>
  <si>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</si>
  <si>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</si>
  <si>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</si>
  <si>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</si>
  <si>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</si>
  <si>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</si>
  <si>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</si>
  <si>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</si>
  <si>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</si>
  <si>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</si>
  <si>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</si>
  <si>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</si>
  <si>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</si>
  <si>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</si>
  <si>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</si>
  <si>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</si>
  <si>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</si>
  <si>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</si>
  <si>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</si>
  <si>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</si>
  <si>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</si>
  <si>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</si>
  <si>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</si>
  <si>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</si>
  <si>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</si>
  <si>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</si>
  <si>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</si>
  <si>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เอกชน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</si>
  <si>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</si>
  <si>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</si>
  <si>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</si>
  <si>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</si>
  <si>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</si>
  <si>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</si>
  <si>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</si>
  <si>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</si>
  <si>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</si>
  <si>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</si>
  <si>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</si>
  <si>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</si>
  <si>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</si>
  <si>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</si>
  <si>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</si>
  <si>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</si>
  <si>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</si>
  <si>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</si>
  <si>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</si>
  <si>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</si>
  <si>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</si>
  <si>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</si>
  <si>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</si>
  <si>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</si>
  <si>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</si>
  <si>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</si>
  <si>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</si>
  <si>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</si>
  <si>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</si>
  <si>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</si>
  <si>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/ Co-</t>
  </si>
  <si>
    <t xml:space="preserve">   หมายเหตุ</t>
  </si>
  <si>
    <t xml:space="preserve"> 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</si>
  <si>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</si>
  <si>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</si>
  <si>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</si>
  <si>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</si>
  <si>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</si>
  <si>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</si>
  <si>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</si>
  <si>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t xml:space="preserve">6.5 กรรมการเฉพาะกิจที่ไม่มีในข้อบังคับ ชุดละ 0.5 หน่วยฯ รวมไม่เกิน 4 หน่วยฯ 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</si>
  <si>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</si>
  <si>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</si>
  <si>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</si>
  <si>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</si>
  <si>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</si>
  <si>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</si>
  <si>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</si>
  <si>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</si>
  <si>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</si>
  <si>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</si>
  <si>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</si>
  <si>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</si>
  <si>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</si>
  <si>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</si>
  <si>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</si>
  <si>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</si>
  <si>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</si>
  <si>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</si>
  <si>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</si>
  <si>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</si>
  <si>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</si>
  <si>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</si>
  <si>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</si>
  <si>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</si>
  <si>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</si>
  <si>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</si>
  <si>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</si>
  <si>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</si>
  <si>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</si>
  <si>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</si>
  <si>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</si>
  <si>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</si>
  <si>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</si>
  <si>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</si>
  <si>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</si>
  <si>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</si>
  <si>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</si>
  <si>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</si>
  <si>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</si>
  <si>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</si>
  <si>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</si>
  <si>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</si>
  <si>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</si>
  <si>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(2) ปฏิบัติในห้อง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</si>
  <si>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</si>
  <si>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</si>
  <si>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r>
      <t>(1) ภาคทฤษฎี: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</si>
  <si>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t xml:space="preserve">ภาคปกติ จุดคุ้มทุนpath wayละ 2 คน </t>
  </si>
  <si>
    <t>(3) ปฏิบัติในห้อง lab 1 หน่วยกิต = 7.5hr/wk [ตรียมสอน (2.5), สอน(3) และ ตรวจ(2)] ต่อนิสิต 1 กลุ่ม ( 10 คน)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</si>
  <si>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</si>
  <si>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</si>
  <si>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</si>
  <si>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ประธานกรรมการ (คิดได้ 2 ครั้งๆละ 3 หน่วยฯต่อนิสิต 1 คน)  </t>
  </si>
  <si>
    <r>
      <t>ครั้งที่1 lสอบเค้าโครง(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</si>
  <si>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ครั้งที่2 สอบจบ</t>
    </r>
    <r>
      <rPr>
        <sz val="12"/>
        <color indexed="60"/>
        <rFont val="Cordia New"/>
        <family val="2"/>
      </rPr>
      <t>(ชื่อ+วันสอบ)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</si>
  <si>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2 ครั้งๆละ 1 หน่วยฯต่อนิสิต 1 คน)  </t>
    </r>
  </si>
  <si>
    <r>
      <t>ครั้งที่ 2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</si>
  <si>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3</t>
    </r>
    <r>
      <rPr>
        <sz val="12"/>
        <color indexed="60"/>
        <rFont val="Cordia New"/>
        <family val="2"/>
      </rPr>
      <t xml:space="preserve"> สอบจบ( ชื่อ+วันสอบ)</t>
    </r>
  </si>
  <si>
    <t xml:space="preserve">ก. ประธานกรรมการ (คิดได้ 4 ครั้งๆละ 3 หน่วยฯต่อนิสิต 1 คน)  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</si>
  <si>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</si>
  <si>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</si>
  <si>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</si>
  <si>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</si>
  <si>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</si>
  <si>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</si>
  <si>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</si>
  <si>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ทบ</t>
  </si>
  <si>
    <t>lab</t>
  </si>
  <si>
    <t>prac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</si>
  <si>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</si>
  <si>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</si>
  <si>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</si>
  <si>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</si>
  <si>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</si>
  <si>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</si>
  <si>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</si>
  <si>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</si>
  <si>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</si>
  <si>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</si>
  <si>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</si>
  <si>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</si>
  <si>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4 ครั้งๆละ 1 หน่วยฯ) 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</si>
  <si>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</si>
  <si>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</si>
  <si>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</si>
  <si>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</si>
  <si>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</si>
  <si>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</si>
  <si>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</si>
  <si>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</si>
  <si>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รวม U</t>
  </si>
  <si>
    <t>..</t>
  </si>
  <si>
    <t>ระบุชื่อนิสิตและสาขา..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</si>
  <si>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</si>
  <si>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</si>
  <si>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</si>
  <si>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</si>
  <si>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</si>
  <si>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</si>
  <si>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</si>
  <si>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</si>
  <si>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</si>
  <si>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r>
      <t xml:space="preserve">2.5.1.2  บทความวิจัย (Research article)เผยแพร่ใน TCI กลุ่ม 1 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กลุ่ม 2 คิดได้ 6 หน่วยชั่วโมงต่อสัปดาห์ต่อภาคเรียน</t>
    </r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</si>
  <si>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</si>
  <si>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</si>
  <si>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</si>
  <si>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</si>
  <si>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</si>
  <si>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</si>
  <si>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</si>
  <si>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</si>
  <si>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</si>
  <si>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</si>
  <si>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r>
      <t xml:space="preserve">     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</t>
    </r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</si>
  <si>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</si>
  <si>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</si>
  <si>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</si>
  <si>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</si>
  <si>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</si>
  <si>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</si>
  <si>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</si>
  <si>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</si>
  <si>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</si>
  <si>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</si>
  <si>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</si>
  <si>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</si>
  <si>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</si>
  <si>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</si>
  <si>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</si>
  <si>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</si>
  <si>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</si>
  <si>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</si>
  <si>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</si>
  <si>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</si>
  <si>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</si>
  <si>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</si>
  <si>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</si>
  <si>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</si>
  <si>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</si>
  <si>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</si>
  <si>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</si>
  <si>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</si>
  <si>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</si>
  <si>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</si>
  <si>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(1) ภาคทฤษฎี: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</si>
  <si>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</si>
  <si>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</si>
  <si>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</si>
  <si>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</si>
  <si>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</si>
  <si>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</si>
  <si>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</si>
  <si>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</si>
  <si>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r>
      <t>(2) ปฏิบัติในห้อง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</si>
  <si>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</si>
  <si>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</si>
  <si>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</si>
  <si>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</si>
  <si>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</si>
  <si>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</si>
  <si>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r>
      <t>ครั้งที่ 3</t>
    </r>
    <r>
      <rPr>
        <sz val="12"/>
        <color indexed="63"/>
        <rFont val="Cordia New"/>
        <family val="2"/>
      </rPr>
      <t xml:space="preserve"> สอบจบ</t>
    </r>
    <r>
      <rPr>
        <sz val="12"/>
        <color indexed="60"/>
        <rFont val="Cordia New"/>
        <family val="2"/>
      </rPr>
      <t>( ชื่อ+วันสอบ)</t>
    </r>
  </si>
  <si>
    <r>
      <t>ครั้งที่ 1 เสนอ concept (</t>
    </r>
    <r>
      <rPr>
        <sz val="12"/>
        <color indexed="10"/>
        <rFont val="Cordia New"/>
        <family val="2"/>
      </rPr>
      <t xml:space="preserve"> ชื่อ+วันเสนอ)</t>
    </r>
  </si>
  <si>
    <r>
      <t>ครั้งที่ 4</t>
    </r>
    <r>
      <rPr>
        <sz val="12"/>
        <color indexed="60"/>
        <rFont val="Cordia New"/>
        <family val="2"/>
      </rPr>
      <t xml:space="preserve">  </t>
    </r>
    <r>
      <rPr>
        <sz val="12"/>
        <color indexed="63"/>
        <rFont val="Cordia New"/>
        <family val="2"/>
      </rPr>
      <t>ลงวารสาร</t>
    </r>
    <r>
      <rPr>
        <sz val="12"/>
        <color indexed="60"/>
        <rFont val="Cordia New"/>
        <family val="2"/>
      </rPr>
      <t>( ชื่อ+วันที่ตอบรับ)</t>
    </r>
  </si>
  <si>
    <r>
      <t>ครั้งที่ 4</t>
    </r>
    <r>
      <rPr>
        <sz val="12"/>
        <color indexed="60"/>
        <rFont val="Cordia New"/>
        <family val="2"/>
      </rPr>
      <t xml:space="preserve">  ลงวารสาร( ชื่อ+วันตอบรับ)</t>
    </r>
  </si>
  <si>
    <r>
      <rPr>
        <b/>
        <sz val="12"/>
        <color indexed="62"/>
        <rFont val="Cordia New"/>
        <family val="2"/>
      </rPr>
      <t>(1) ภาคทฤษฎี: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</si>
  <si>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</si>
  <si>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</si>
  <si>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</si>
  <si>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</si>
  <si>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</si>
  <si>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</si>
  <si>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</si>
  <si>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</si>
  <si>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</si>
  <si>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</si>
  <si>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</si>
  <si>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</si>
  <si>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</si>
  <si>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</si>
  <si>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</si>
  <si>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</si>
  <si>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</si>
  <si>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</si>
  <si>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</si>
  <si>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เฉลี่ยต่อภาคการศึกษา  =</t>
  </si>
  <si>
    <t>รวมการดำเนินงานวิจัยและแหล่งทุน (2.1-2.4)</t>
  </si>
  <si>
    <t>เฉพาะโครงการที่อยู่</t>
  </si>
  <si>
    <t>ช่วงเวลาตามสัญญาวิจัย</t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</si>
  <si>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</si>
  <si>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หรือหนังสือตอบรับในปีที่ประเมิน</t>
  </si>
  <si>
    <t>รวมผลงานวิจัยทั้งสิ้นในรอบนี้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</si>
  <si>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</si>
  <si>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</si>
  <si>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</si>
  <si>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สรุปแยกรายการ</t>
  </si>
  <si>
    <t>รวม U ป.ตรี</t>
  </si>
  <si>
    <t>รวม U  ที่สอนบัณฑิต</t>
  </si>
  <si>
    <t>รวม U  ที่สอนบัณฑิต Inter</t>
  </si>
  <si>
    <t xml:space="preserve">       คณะพยาบาลศาสตร์  มหาวิทยาลัยบูุรพา</t>
  </si>
  <si>
    <t>1. งานสอน</t>
  </si>
  <si>
    <t>สรุปงานสอน</t>
  </si>
  <si>
    <t>ผลสัมฤทธ์</t>
  </si>
  <si>
    <t>คะแนนที่ได้</t>
  </si>
  <si>
    <t>(5)</t>
  </si>
  <si>
    <t>(6)</t>
  </si>
  <si>
    <t>(7)</t>
  </si>
  <si>
    <t>คะแนนถ่วงน้ำหนัก</t>
  </si>
  <si>
    <t>น้ำหนัก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</si>
  <si>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</si>
  <si>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</si>
  <si>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</si>
  <si>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</si>
  <si>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(1-5)</t>
  </si>
  <si>
    <t>6. งานบริหาร</t>
  </si>
  <si>
    <t>กลุ่ม  &gt;&gt;&gt;</t>
  </si>
  <si>
    <t>1. อจ</t>
  </si>
  <si>
    <t>2. ประธานฯ</t>
  </si>
  <si>
    <t>3. รอง/ผช</t>
  </si>
  <si>
    <r>
      <rPr>
        <b/>
        <u val="single"/>
        <sz val="12"/>
        <color indexed="18"/>
        <rFont val="Cordia New"/>
        <family val="2"/>
      </rPr>
      <t xml:space="preserve">ภาคการศึกษาที่ 2 และ ภาคฤดูร้อน ปีการศึกษา 2560 </t>
    </r>
    <r>
      <rPr>
        <b/>
        <sz val="12"/>
        <color indexed="18"/>
        <rFont val="Cordia New"/>
        <family val="2"/>
      </rPr>
      <t>:</t>
    </r>
    <r>
      <rPr>
        <b/>
        <sz val="12"/>
        <rFont val="Cordia New"/>
        <family val="2"/>
      </rPr>
      <t xml:space="preserve"> </t>
    </r>
    <r>
      <rPr>
        <b/>
        <sz val="12"/>
        <color indexed="17"/>
        <rFont val="Cordia New"/>
        <family val="2"/>
      </rPr>
      <t>(บันทึกการปฏิบัติงานระหว่างวันที่ 1 มกราคม 2561 ถึง วันที่ 30 มิถุนายน 2561)</t>
    </r>
    <r>
      <rPr>
        <b/>
        <sz val="12"/>
        <rFont val="Cordia New"/>
        <family val="2"/>
      </rPr>
      <t xml:space="preserve"> </t>
    </r>
  </si>
  <si>
    <t>ค่าเฉลี่ยจากรอบที่ 1 ยกมา =</t>
  </si>
  <si>
    <r>
      <rPr>
        <b/>
        <sz val="12"/>
        <color indexed="36"/>
        <rFont val="Cordia New"/>
        <family val="2"/>
      </rPr>
      <t xml:space="preserve">รวมการเผยแพร่วิจัย </t>
    </r>
    <r>
      <rPr>
        <b/>
        <sz val="12"/>
        <color indexed="10"/>
        <rFont val="Cordia New"/>
        <family val="2"/>
      </rPr>
      <t xml:space="preserve">              </t>
    </r>
    <r>
      <rPr>
        <b/>
        <sz val="12"/>
        <color indexed="57"/>
        <rFont val="Cordia New"/>
        <family val="2"/>
      </rPr>
      <t xml:space="preserve"> เฉพาะรอบที่ 2   =</t>
    </r>
  </si>
  <si>
    <r>
      <t xml:space="preserve">รวมการเผยแพร่วิทยานิพนธ์นิสิต      </t>
    </r>
    <r>
      <rPr>
        <b/>
        <sz val="12"/>
        <color indexed="57"/>
        <rFont val="Cordia New"/>
        <family val="2"/>
      </rPr>
      <t>เฉพาะรอบที่ 2   =</t>
    </r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</si>
  <si>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มกราคม 2561 - 30 มิถุนายน 2561)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</si>
  <si>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t>ข้อแนะนำ</t>
  </si>
  <si>
    <t>กลุ่มที่</t>
  </si>
  <si>
    <t>ผู้สอน</t>
  </si>
  <si>
    <t>ประธานสาขาวิชา หรือประธานหลักสูตร</t>
  </si>
  <si>
    <t>รองคณบดี หรือผู้ช่วยคณบดี</t>
  </si>
  <si>
    <t xml:space="preserve">ในรอบการประเมิน </t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</si>
  <si>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</si>
  <si>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r>
      <rPr>
        <b/>
        <u val="single"/>
        <sz val="12"/>
        <color indexed="18"/>
        <rFont val="Cordia New"/>
        <family val="2"/>
      </rPr>
      <t xml:space="preserve">ภาคการศึกษาที่ 1 ปีการศึกษา 2560 </t>
    </r>
    <r>
      <rPr>
        <b/>
        <sz val="12"/>
        <color indexed="18"/>
        <rFont val="Cordia New"/>
        <family val="2"/>
      </rPr>
      <t>:</t>
    </r>
    <r>
      <rPr>
        <b/>
        <sz val="12"/>
        <rFont val="Cordia New"/>
        <family val="2"/>
      </rPr>
      <t xml:space="preserve"> </t>
    </r>
    <r>
      <rPr>
        <b/>
        <sz val="12"/>
        <color indexed="17"/>
        <rFont val="Cordia New"/>
        <family val="2"/>
      </rPr>
      <t>(บันทึกการปฏิบัติงานระหว่างวันที่ 1 กรกฎาคม 2560 ถึง วันที่ 31 ธันวาคม 2560)</t>
    </r>
    <r>
      <rPr>
        <b/>
        <sz val="12"/>
        <rFont val="Cordia New"/>
        <family val="2"/>
      </rPr>
      <t xml:space="preserve"> 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</si>
  <si>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</si>
  <si>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r>
      <t>(1) ภาคทฤษฎี: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</si>
  <si>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</si>
  <si>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</si>
  <si>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</si>
  <si>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</si>
  <si>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</si>
  <si>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</si>
  <si>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</si>
  <si>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t xml:space="preserve">(ข้อมูลวันที 1 กค 60 ถึง 30 มิย 61) </t>
  </si>
  <si>
    <t>ภาระงานด้านการสอน (ต่อ)</t>
  </si>
  <si>
    <t>รวมหน่วยกิตที่สอนตลอดปีการศึกษา</t>
  </si>
  <si>
    <t>ภาคต้น</t>
  </si>
  <si>
    <t>ภาคปลาย&amp;ฤดูร้อน</t>
  </si>
  <si>
    <t>ภาคที่</t>
  </si>
  <si>
    <r>
      <t xml:space="preserve">รวม 7. งานกิจการนิสิต               </t>
    </r>
    <r>
      <rPr>
        <b/>
        <sz val="12"/>
        <color indexed="57"/>
        <rFont val="Cordia New"/>
        <family val="2"/>
      </rPr>
      <t xml:space="preserve"> ปีนี้  =</t>
    </r>
  </si>
  <si>
    <r>
      <t xml:space="preserve"> รวม 6 งานบริหาร                  </t>
    </r>
    <r>
      <rPr>
        <b/>
        <sz val="12"/>
        <color indexed="57"/>
        <rFont val="Cordia New"/>
        <family val="2"/>
      </rPr>
      <t xml:space="preserve"> ปีนี้  =</t>
    </r>
  </si>
  <si>
    <r>
      <rPr>
        <b/>
        <sz val="12"/>
        <color indexed="36"/>
        <rFont val="Cordia New"/>
        <family val="2"/>
      </rPr>
      <t>รวม   5. งานโครงการพิเศษ</t>
    </r>
    <r>
      <rPr>
        <b/>
        <sz val="12"/>
        <rFont val="Cordia New"/>
        <family val="2"/>
      </rPr>
      <t xml:space="preserve">     </t>
    </r>
    <r>
      <rPr>
        <b/>
        <sz val="12"/>
        <color indexed="57"/>
        <rFont val="Cordia New"/>
        <family val="2"/>
      </rPr>
      <t xml:space="preserve"> ปีนี้  =</t>
    </r>
  </si>
  <si>
    <t>รวม 4 บริการวิชาการ (รวมไม่เกิน 12 หน่วยต่อปี)</t>
  </si>
  <si>
    <t xml:space="preserve">บริการวิชาการแก่สังคม (ทุกรายการรวมไม่เกิน 12 หน่วยฯ) 4.1 งานทดสอบ 4.2 งานออกแบบ </t>
  </si>
  <si>
    <t xml:space="preserve">รวม  3 งานวิชาการ                ปีนี้  = </t>
  </si>
  <si>
    <t>รวมภาระงาน</t>
  </si>
  <si>
    <t xml:space="preserve">        ข้อมูลดังกล่าวข้างต้นได้ผ่านการรับรองของคณาจารย์ในสาขาวิชา ฯ ด้วยวิธีการที่สาขาวิชา ฯ กำหนดแล้ว</t>
  </si>
  <si>
    <t>ต้องระบุข้อมูลกลุ่มก่อน ใน cell D14  ด้วยหมายเลขกลุ่ม แล้วใส่ผลการประเมินตนเองใน Column E</t>
  </si>
  <si>
    <t>ชื่อ</t>
  </si>
  <si>
    <t>รวมทั้งปี</t>
  </si>
  <si>
    <t>เฉลี่ยต่อภาค</t>
  </si>
  <si>
    <t>หมายเหตุ        # หน้า 2 ใน 13</t>
  </si>
  <si>
    <t xml:space="preserve">            หมายเหตุ                  # หน้าที่ 3 /13                                </t>
  </si>
  <si>
    <t xml:space="preserve"> # หน้า 3 ใน 13</t>
  </si>
  <si>
    <t>หมายเหตุ        # หน้า 5 ใน 13</t>
  </si>
  <si>
    <t xml:space="preserve">            หมายเหตุ    # หน้า 6 ใน 13                               </t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</si>
  <si>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7 ใน 13</t>
    </r>
  </si>
  <si>
    <t>#หน้าที่ 9  ใน 13</t>
  </si>
  <si>
    <t>#หน้า 8 ใน 13</t>
  </si>
  <si>
    <r>
      <t xml:space="preserve">หมายเหตุ </t>
    </r>
    <r>
      <rPr>
        <b/>
        <sz val="11"/>
        <color indexed="10"/>
        <rFont val="Cordia New"/>
        <family val="2"/>
      </rPr>
      <t>#หน้า 10 ใน 13</t>
    </r>
  </si>
  <si>
    <r>
      <t xml:space="preserve">หมายเหตุ </t>
    </r>
    <r>
      <rPr>
        <sz val="11"/>
        <color indexed="10"/>
        <rFont val="Cordia New"/>
        <family val="2"/>
      </rPr>
      <t># หน้า 11 ใน 13</t>
    </r>
  </si>
  <si>
    <t># หน้า 12 ใน 13</t>
  </si>
  <si>
    <t># หน้า 13 ใน 13</t>
  </si>
  <si>
    <t xml:space="preserve">อ. </t>
  </si>
  <si>
    <t>การพยาบาล</t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</si>
  <si>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2561</t>
    </r>
    <r>
      <rPr>
        <sz val="11"/>
        <rFont val="Cordia New"/>
        <family val="2"/>
      </rPr>
      <t xml:space="preserve">   </t>
    </r>
  </si>
  <si>
    <r>
      <t xml:space="preserve">Form Eva1                          </t>
    </r>
    <r>
      <rPr>
        <sz val="12"/>
        <color indexed="10"/>
        <rFont val="Cordia New"/>
        <family val="2"/>
      </rPr>
      <t xml:space="preserve">   # หน้า 1 ใน 13</t>
    </r>
  </si>
  <si>
    <t>ภาคปกติ จุดคุ้มทุน 20 คนตาม ม คำนวณ</t>
  </si>
  <si>
    <t>ภาคพิเศษ จุดคุ้มทุน 15 คน ตาม ม. คำนวณ</t>
  </si>
  <si>
    <r>
      <t xml:space="preserve">        รอบการประเมิน ปีงบประมาณ </t>
    </r>
    <r>
      <rPr>
        <b/>
        <sz val="16"/>
        <color indexed="10"/>
        <rFont val="Cordia New"/>
        <family val="2"/>
      </rPr>
      <t>2561</t>
    </r>
    <r>
      <rPr>
        <b/>
        <sz val="16"/>
        <rFont val="Cordia New"/>
        <family val="2"/>
      </rPr>
      <t xml:space="preserve"> </t>
    </r>
  </si>
  <si>
    <t xml:space="preserve">       แบบกรอกปริมาณงานพนักงาน ประเภทวิชาการ คณะพยาบาลศาสตร์  ม.บูรพา</t>
  </si>
  <si>
    <t xml:space="preserve">     สรุปรายงานผลสัมฤทธิ์การปฎิบัติงานพนักงาน</t>
  </si>
  <si>
    <r>
      <rPr>
        <sz val="12"/>
        <color indexed="10"/>
        <rFont val="Cordia New"/>
        <family val="2"/>
      </rPr>
      <t>3)* ปฏิบัติ</t>
    </r>
    <r>
      <rPr>
        <sz val="12"/>
        <rFont val="Cordia New"/>
        <family val="2"/>
      </rPr>
      <t xml:space="preserve">   </t>
    </r>
    <r>
      <rPr>
        <sz val="12"/>
        <color indexed="10"/>
        <rFont val="Cordia New"/>
        <family val="2"/>
      </rPr>
      <t>วิชา.........</t>
    </r>
  </si>
  <si>
    <r>
      <rPr>
        <sz val="12"/>
        <color indexed="10"/>
        <rFont val="Cordia New"/>
        <family val="2"/>
      </rPr>
      <t>4)* ปฏิบัติ</t>
    </r>
    <r>
      <rPr>
        <sz val="12"/>
        <rFont val="Cordia New"/>
        <family val="2"/>
      </rPr>
      <t xml:space="preserve">   </t>
    </r>
    <r>
      <rPr>
        <sz val="12"/>
        <color indexed="10"/>
        <rFont val="Cordia New"/>
        <family val="2"/>
      </rPr>
      <t>วิชา.........</t>
    </r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</si>
  <si>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 ( หลักสูตรก่อนพ.ศ. 2560 ;  1 หน่วยกิตคิด 60 ชั่วโมงฝึกงาน)    </t>
    </r>
  </si>
  <si>
    <r>
      <t xml:space="preserve">4) ปฏิบัติ </t>
    </r>
    <r>
      <rPr>
        <sz val="12"/>
        <color indexed="10"/>
        <rFont val="Cordia New"/>
        <family val="2"/>
      </rPr>
      <t>วิชา.........</t>
    </r>
  </si>
  <si>
    <t xml:space="preserve">(3) เฉพาะสาขาวิชาสูงอายุฯ (1u=60 hr) </t>
  </si>
  <si>
    <t xml:space="preserve">(4) เฉพาะสาขาวิชาสูงอายุฯ (1u=60 hr) 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</si>
  <si>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 ฯ คิดได้ 100% กรณีไม่มีเอกสารฯ หัวหน้าฯ </t>
    </r>
  </si>
  <si>
    <t>คิด 60% ผู้ร่วมวิจัยรวม 40 % กระจายเท่า ๆ กัน</t>
  </si>
  <si>
    <t xml:space="preserve">4.1 งานฝึกอบรม (วิทยากร) หรืองานสอนภายนอกที่ได้รับความเห็นชอบจากมหาวิทยาลัย 1 หน่วยชม. 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</si>
  <si>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ระบุ ..........</t>
    </r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</si>
  <si>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</si>
  <si>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</si>
  <si>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 xml:space="preserve">4.5.1 ตรวจเครื่องมือวิจัย หรือวิทยานิพนธ์ หรืออ่านผลงานวิจัย (1 ชุดหรือ 1 เรื่อง คิด 0.5 หน่วย) </t>
  </si>
  <si>
    <t>4.5.2 เขียนบทความ บทวิทยุ (1 เรื่อง คิด 0.25 หน่วย)</t>
  </si>
  <si>
    <t xml:space="preserve">4.5.3 อ่านบทความให้วารสารต่างๆ (1 เรื่อง คิด 0.5 หน่วย)  ระบุ </t>
  </si>
  <si>
    <r>
      <t xml:space="preserve">4.5.4  กรรมการองค์กรวิชาชีพพยาบาล หรือ กิจกรรมวิชาการของพยาบาล (1 ชุด คิด 0.35 หน่วย) ระบุ </t>
    </r>
    <r>
      <rPr>
        <sz val="12"/>
        <color indexed="10"/>
        <rFont val="Cordia New"/>
        <family val="2"/>
      </rPr>
      <t>.</t>
    </r>
  </si>
  <si>
    <t>4.5.5 กองบรรณาธิการวารสารวิชาชีพพยาบาล (1 ชุด คิด 0.5 หน่วย) ระบุ..</t>
  </si>
  <si>
    <t>4.5.6  กรรมการสอบวิทยานิพนธ์ เค้าโครง นอกสถาบัน (1 เรื่อง คิด 0.5 หน่วย) ระบุ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</si>
  <si>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</si>
  <si>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</si>
  <si>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</si>
  <si>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</si>
  <si>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</si>
  <si>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</si>
  <si>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t>6.6 เลขานุการสาขาวิชา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</si>
  <si>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6.7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</si>
  <si>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</si>
  <si>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6.10 กรรมการบริหารหลักสูตร ป ตรี หรือบัณฑิตศึกษา หลักสูตรละ 2 หน่วยฯ คิดได้ไม่เกิน 4 หน่วยฯ</t>
  </si>
  <si>
    <r>
      <t>6.11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</si>
  <si>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6.12 (1)กรรมการประสานงานวิชา ป.ตรี  ท.บ./lab ประธาน (2 หน่วย) เลขาฯ (1 หน่วย) กก ( 0.5 หน่วย)</t>
  </si>
  <si>
    <t>6.12 (2) กรรมการประสานงานวิชา ป.ตรี ฝึกงาน. ประธาน (3 หน่วย) เลขาฯ (1.5 หน่วย) กก ( 0.75 หน่วย)</t>
  </si>
  <si>
    <t>6.13 กรรมการบริหารรายวิชา ป.โท/เอก ประธาน (1 หน่วย) เลขาฯ (0.5 หน่วย) กรรมการ ( 0.25 หน่วย)</t>
  </si>
  <si>
    <t>6.14  รักษาการแทนผู้บริหาร คณบดี รองคณบดี ประธานสาขาวิชา (ทอนภาระงานจากตำแหน่งเดิมลง)</t>
  </si>
  <si>
    <r>
      <t xml:space="preserve">รวม  8. งานทำนุบำรุงศิลป ฯ      </t>
    </r>
    <r>
      <rPr>
        <b/>
        <sz val="12"/>
        <color indexed="17"/>
        <rFont val="Cordia New"/>
        <family val="2"/>
      </rPr>
      <t xml:space="preserve"> ปี</t>
    </r>
    <r>
      <rPr>
        <b/>
        <sz val="12"/>
        <color indexed="57"/>
        <rFont val="Cordia New"/>
        <family val="2"/>
      </rPr>
      <t>นี้  =</t>
    </r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</si>
  <si>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( หลักสูตรก่อน พ.ศ. 2560 ;  1 หน่วยกิตคิด 60 ชั่วโมงฝึกงาน)    </t>
    </r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</si>
  <si>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การประเมินตามมติที่ประชุมกรรมการประเมินฯ   </t>
    </r>
    <r>
      <rPr>
        <sz val="12"/>
        <color indexed="10"/>
        <rFont val="Cordia New"/>
        <family val="2"/>
      </rPr>
      <t>วันที่ 15 สิงหาคม พ.ศ. 2561</t>
    </r>
    <r>
      <rPr>
        <sz val="12"/>
        <color indexed="18"/>
        <rFont val="Cordia New"/>
        <family val="2"/>
      </rPr>
      <t xml:space="preserve"> </t>
    </r>
  </si>
  <si>
    <t>4.6.2.1 ภาระงานมาก:  หลักสูตรผู้ช่วย อาชีวะ วารสาร อบรมเฉพาะทาง (๔ เดือนขึ้นไป)</t>
  </si>
  <si>
    <t>6.7/1  ประธานศูนย์วิจัยและปฏิบัติการเพื่อการเรียนรู้และพัฒนาเด็กเล็ก คิดได้wไม่เกิน 4 U</t>
  </si>
  <si>
    <t>6.8 ประธานบริหารหลักสูตร ระดับ ป.ตรี หรือ บัณฑิต หลักสูตรละ 6 หน่วยชั่วโมง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</si>
</sst>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#,##0.00_ ;\-#,##0.00\ "/>
    <numFmt numFmtId="178" formatCode="_-* #,##0_-;\-* #,##0_-;_-* &quot;-&quot;??_-;_-@_-"/>
    <numFmt numFmtId="179" formatCode="[$-107041E]d\ mmm\ yy;@"/>
    <numFmt numFmtId="180" formatCode="0.0"/>
    <numFmt numFmtId="181" formatCode="_-* #,##0.0_-;\-* #,##0.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  <numFmt numFmtId="188" formatCode="_-* #,##0.0000_-;\-* #,##0.0000_-;_-* &quot;-&quot;??_-;_-@_-"/>
  </numFmts>
  <fonts count="188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b/>
      <sz val="12"/>
      <color indexed="17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b/>
      <sz val="12"/>
      <color indexed="57"/>
      <name val="Cordia New"/>
      <family val="2"/>
    </font>
    <font>
      <sz val="9"/>
      <name val="Angsana New"/>
      <family val="1"/>
    </font>
    <font>
      <sz val="12"/>
      <name val="Angsana New"/>
      <family val="1"/>
    </font>
    <font>
      <sz val="1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indexed="62"/>
      <name val="Cordia New"/>
      <family val="2"/>
    </font>
    <font>
      <sz val="16"/>
      <color indexed="36"/>
      <name val="Cordia New"/>
      <family val="2"/>
    </font>
    <font>
      <b/>
      <sz val="16"/>
      <color indexed="36"/>
      <name val="Cordia New"/>
      <family val="2"/>
    </font>
    <font>
      <sz val="16"/>
      <color indexed="17"/>
      <name val="Cordia New"/>
      <family val="2"/>
    </font>
    <font>
      <b/>
      <sz val="16"/>
      <color indexed="17"/>
      <name val="Cordia New"/>
      <family val="2"/>
    </font>
    <font>
      <sz val="16"/>
      <color indexed="60"/>
      <name val="Cordia New"/>
      <family val="2"/>
    </font>
    <font>
      <b/>
      <sz val="12"/>
      <color indexed="28"/>
      <name val="Cordia New"/>
      <family val="2"/>
    </font>
    <font>
      <b/>
      <sz val="14"/>
      <color indexed="10"/>
      <name val="Cordia New"/>
      <family val="2"/>
    </font>
    <font>
      <sz val="14"/>
      <color indexed="62"/>
      <name val="Cordia New"/>
      <family val="2"/>
    </font>
    <font>
      <sz val="14"/>
      <color indexed="57"/>
      <name val="Cordia New"/>
      <family val="2"/>
    </font>
    <font>
      <sz val="12"/>
      <color indexed="10"/>
      <name val="TH SarabunPSK"/>
      <family val="2"/>
    </font>
    <font>
      <b/>
      <sz val="14"/>
      <color indexed="17"/>
      <name val="Cordia New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1"/>
      <color rgb="FFFF0000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sz val="16"/>
      <color rgb="FFFF0000"/>
      <name val="Calibri"/>
      <family val="2"/>
    </font>
    <font>
      <sz val="16"/>
      <color rgb="FF00B050"/>
      <name val="Calibri"/>
      <family val="2"/>
    </font>
    <font>
      <sz val="16"/>
      <color theme="4" tint="-0.24997000396251678"/>
      <name val="Cordia New"/>
      <family val="2"/>
    </font>
    <font>
      <sz val="16"/>
      <color theme="7" tint="-0.24997000396251678"/>
      <name val="Cordia New"/>
      <family val="2"/>
    </font>
    <font>
      <b/>
      <sz val="16"/>
      <color theme="7" tint="-0.24997000396251678"/>
      <name val="Cordia New"/>
      <family val="2"/>
    </font>
    <font>
      <sz val="16"/>
      <color rgb="FF00B050"/>
      <name val="Cordia New"/>
      <family val="2"/>
    </font>
    <font>
      <b/>
      <sz val="16"/>
      <color rgb="FF00B050"/>
      <name val="Cordia New"/>
      <family val="2"/>
    </font>
    <font>
      <sz val="16"/>
      <color theme="3" tint="0.39998000860214233"/>
      <name val="Cordia New"/>
      <family val="2"/>
    </font>
    <font>
      <sz val="16"/>
      <color theme="9" tint="-0.4999699890613556"/>
      <name val="Cordia New"/>
      <family val="2"/>
    </font>
    <font>
      <b/>
      <sz val="12"/>
      <color theme="6" tint="-0.24997000396251678"/>
      <name val="Cordia New"/>
      <family val="2"/>
    </font>
    <font>
      <b/>
      <sz val="12"/>
      <color theme="7" tint="-0.4999699890613556"/>
      <name val="Cordia New"/>
      <family val="2"/>
    </font>
    <font>
      <b/>
      <sz val="14"/>
      <color rgb="FFFF0000"/>
      <name val="Cordia New"/>
      <family val="2"/>
    </font>
    <font>
      <sz val="14"/>
      <color theme="3" tint="0.39998000860214233"/>
      <name val="Cordia New"/>
      <family val="2"/>
    </font>
    <font>
      <sz val="14"/>
      <color theme="6" tint="-0.24997000396251678"/>
      <name val="Cordia New"/>
      <family val="2"/>
    </font>
    <font>
      <sz val="12"/>
      <color rgb="FFFF0000"/>
      <name val="TH SarabunPSK"/>
      <family val="2"/>
    </font>
    <font>
      <b/>
      <sz val="14"/>
      <color rgb="FF00B050"/>
      <name val="Cordia New"/>
      <family val="2"/>
    </font>
    <font>
      <b/>
      <sz val="12"/>
      <color theme="9" tint="-0.4999699890613556"/>
      <name val="Cordia New"/>
      <family val="2"/>
    </font>
    <font>
      <sz val="11"/>
      <color theme="3" tint="0.39998000860214233"/>
      <name val="Cordia New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rgb="FFFF0000"/>
      <name val="Cordia New"/>
      <family val="2"/>
    </font>
    <font>
      <sz val="14"/>
      <color rgb="FFC0000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5FF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hair">
        <color indexed="53"/>
      </top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7" tint="-0.24993999302387238"/>
      </left>
      <right style="double">
        <color theme="7" tint="-0.24993999302387238"/>
      </right>
      <top style="double">
        <color theme="7" tint="-0.24993999302387238"/>
      </top>
      <bottom style="double">
        <color theme="7" tint="-0.24993999302387238"/>
      </bottom>
    </border>
    <border>
      <left>
        <color indexed="63"/>
      </left>
      <right style="thin"/>
      <top style="double">
        <color theme="6" tint="-0.4999699890613556"/>
      </top>
      <bottom/>
    </border>
    <border>
      <left style="thin"/>
      <right style="thin"/>
      <top style="double">
        <color theme="7" tint="-0.24993999302387238"/>
      </top>
      <bottom/>
    </border>
    <border>
      <left style="thin"/>
      <right style="thin"/>
      <top/>
      <bottom style="double">
        <color theme="7" tint="-0.24993999302387238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double">
        <color theme="7" tint="-0.4999699890613556"/>
      </left>
      <right style="double">
        <color theme="7" tint="-0.24993999302387238"/>
      </right>
      <top style="double">
        <color theme="7" tint="-0.24993999302387238"/>
      </top>
      <bottom style="double">
        <color theme="7" tint="-0.24993999302387238"/>
      </bottom>
    </border>
    <border>
      <left>
        <color indexed="63"/>
      </left>
      <right style="double">
        <color theme="7" tint="-0.4999699890613556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>
        <color rgb="FFFF0000"/>
      </bottom>
    </border>
    <border>
      <left>
        <color indexed="63"/>
      </left>
      <right style="dotted"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/>
      <right>
        <color indexed="63"/>
      </right>
      <top style="thin"/>
      <bottom style="thin">
        <color rgb="FFFF0000"/>
      </bottom>
    </border>
    <border>
      <left style="double">
        <color rgb="FFFF0000"/>
      </left>
      <right style="thin">
        <color rgb="FFFF0000"/>
      </right>
      <top style="thin"/>
      <bottom style="thin">
        <color rgb="FFFF0000"/>
      </bottom>
    </border>
    <border>
      <left/>
      <right/>
      <top/>
      <bottom style="thin">
        <color rgb="FFFF0000"/>
      </bottom>
    </border>
    <border>
      <left style="thin">
        <color rgb="FFFF0000"/>
      </left>
      <right/>
      <top>
        <color indexed="63"/>
      </top>
      <bottom style="thin"/>
    </border>
    <border>
      <left style="double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dotted"/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 style="double">
        <color rgb="FFFF0000"/>
      </left>
      <right style="thin">
        <color rgb="FFFF0000"/>
      </right>
      <top>
        <color indexed="63"/>
      </top>
      <bottom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 style="thin"/>
      <right/>
      <top style="hair">
        <color rgb="FF00B050"/>
      </top>
      <bottom style="thin"/>
    </border>
    <border>
      <left style="hair"/>
      <right style="hair"/>
      <top style="hair">
        <color rgb="FF00B050"/>
      </top>
      <bottom style="thin"/>
    </border>
    <border>
      <left/>
      <right style="thin"/>
      <top style="hair">
        <color rgb="FF00B050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medium">
        <color rgb="FF7030A0"/>
      </bottom>
    </border>
    <border>
      <left style="thin"/>
      <right>
        <color indexed="63"/>
      </right>
      <top style="medium">
        <color rgb="FF7030A0"/>
      </top>
      <bottom style="medium">
        <color rgb="FF7030A0"/>
      </bottom>
    </border>
    <border>
      <left style="double">
        <color theme="7" tint="-0.4999699890613556"/>
      </left>
      <right style="double">
        <color theme="7" tint="-0.4999699890613556"/>
      </right>
      <top style="double">
        <color theme="7" tint="-0.4999699890613556"/>
      </top>
      <bottom style="double">
        <color theme="7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0" applyNumberFormat="0" applyBorder="0" applyAlignment="0" applyProtection="0"/>
    <xf numFmtId="0" fontId="118" fillId="27" borderId="1" applyNumberFormat="0" applyAlignment="0" applyProtection="0"/>
    <xf numFmtId="0" fontId="11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30" borderId="1" applyNumberFormat="0" applyAlignment="0" applyProtection="0"/>
    <xf numFmtId="0" fontId="126" fillId="0" borderId="6" applyNumberFormat="0" applyFill="0" applyAlignment="0" applyProtection="0"/>
    <xf numFmtId="0" fontId="127" fillId="31" borderId="0" applyNumberFormat="0" applyBorder="0" applyAlignment="0" applyProtection="0"/>
    <xf numFmtId="0" fontId="0" fillId="32" borderId="7" applyNumberFormat="0" applyFont="0" applyAlignment="0" applyProtection="0"/>
    <xf numFmtId="0" fontId="128" fillId="27" borderId="8" applyNumberFormat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</cellStyleXfs>
  <cellXfs count="10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2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3" fillId="0" borderId="27" xfId="0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26" xfId="0" applyFont="1" applyFill="1" applyBorder="1" applyAlignment="1">
      <alignment/>
    </xf>
    <xf numFmtId="0" fontId="16" fillId="0" borderId="14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1" fontId="7" fillId="0" borderId="15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12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Fill="1" applyBorder="1" applyAlignment="1" applyProtection="1">
      <alignment horizontal="left"/>
      <protection locked="0"/>
    </xf>
    <xf numFmtId="2" fontId="3" fillId="0" borderId="14" xfId="0" applyNumberFormat="1" applyFont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/>
      <protection hidden="1"/>
    </xf>
    <xf numFmtId="2" fontId="6" fillId="0" borderId="30" xfId="0" applyNumberFormat="1" applyFont="1" applyFill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171" fontId="3" fillId="0" borderId="0" xfId="42" applyFont="1" applyAlignment="1">
      <alignment/>
    </xf>
    <xf numFmtId="171" fontId="3" fillId="0" borderId="13" xfId="42" applyFont="1" applyBorder="1" applyAlignment="1">
      <alignment/>
    </xf>
    <xf numFmtId="171" fontId="3" fillId="0" borderId="18" xfId="42" applyFont="1" applyBorder="1" applyAlignment="1">
      <alignment/>
    </xf>
    <xf numFmtId="171" fontId="3" fillId="0" borderId="15" xfId="42" applyFont="1" applyBorder="1" applyAlignment="1">
      <alignment/>
    </xf>
    <xf numFmtId="171" fontId="3" fillId="0" borderId="14" xfId="42" applyFont="1" applyBorder="1" applyAlignment="1">
      <alignment/>
    </xf>
    <xf numFmtId="171" fontId="3" fillId="0" borderId="20" xfId="42" applyFont="1" applyBorder="1" applyAlignment="1">
      <alignment/>
    </xf>
    <xf numFmtId="0" fontId="2" fillId="0" borderId="12" xfId="0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3" fillId="0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1" fontId="3" fillId="34" borderId="17" xfId="0" applyNumberFormat="1" applyFont="1" applyFill="1" applyBorder="1" applyAlignment="1" applyProtection="1" quotePrefix="1">
      <alignment horizontal="center"/>
      <protection/>
    </xf>
    <xf numFmtId="1" fontId="3" fillId="34" borderId="17" xfId="0" applyNumberFormat="1" applyFont="1" applyFill="1" applyBorder="1" applyAlignment="1" applyProtection="1">
      <alignment/>
      <protection/>
    </xf>
    <xf numFmtId="2" fontId="3" fillId="34" borderId="17" xfId="0" applyNumberFormat="1" applyFont="1" applyFill="1" applyBorder="1" applyAlignment="1" applyProtection="1" quotePrefix="1">
      <alignment horizontal="center"/>
      <protection/>
    </xf>
    <xf numFmtId="2" fontId="3" fillId="34" borderId="17" xfId="0" applyNumberFormat="1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171" fontId="3" fillId="34" borderId="14" xfId="42" applyFont="1" applyFill="1" applyBorder="1" applyAlignment="1">
      <alignment/>
    </xf>
    <xf numFmtId="2" fontId="6" fillId="0" borderId="32" xfId="0" applyNumberFormat="1" applyFont="1" applyFill="1" applyBorder="1" applyAlignment="1" applyProtection="1">
      <alignment/>
      <protection hidden="1"/>
    </xf>
    <xf numFmtId="2" fontId="6" fillId="0" borderId="21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2" fontId="3" fillId="0" borderId="12" xfId="0" applyNumberFormat="1" applyFont="1" applyFill="1" applyBorder="1" applyAlignment="1" applyProtection="1">
      <alignment/>
      <protection hidden="1"/>
    </xf>
    <xf numFmtId="2" fontId="3" fillId="0" borderId="14" xfId="0" applyNumberFormat="1" applyFont="1" applyFill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171" fontId="2" fillId="35" borderId="14" xfId="42" applyFont="1" applyFill="1" applyBorder="1" applyAlignment="1">
      <alignment/>
    </xf>
    <xf numFmtId="0" fontId="3" fillId="0" borderId="17" xfId="0" applyFont="1" applyBorder="1" applyAlignment="1">
      <alignment/>
    </xf>
    <xf numFmtId="2" fontId="23" fillId="0" borderId="23" xfId="0" applyNumberFormat="1" applyFont="1" applyFill="1" applyBorder="1" applyAlignment="1" applyProtection="1">
      <alignment/>
      <protection hidden="1"/>
    </xf>
    <xf numFmtId="2" fontId="23" fillId="0" borderId="25" xfId="0" applyNumberFormat="1" applyFont="1" applyFill="1" applyBorder="1" applyAlignment="1" applyProtection="1">
      <alignment/>
      <protection hidden="1"/>
    </xf>
    <xf numFmtId="2" fontId="23" fillId="0" borderId="24" xfId="0" applyNumberFormat="1" applyFont="1" applyFill="1" applyBorder="1" applyAlignment="1" applyProtection="1">
      <alignment/>
      <protection hidden="1"/>
    </xf>
    <xf numFmtId="2" fontId="23" fillId="0" borderId="32" xfId="0" applyNumberFormat="1" applyFont="1" applyFill="1" applyBorder="1" applyAlignment="1" applyProtection="1">
      <alignment/>
      <protection hidden="1"/>
    </xf>
    <xf numFmtId="2" fontId="23" fillId="0" borderId="34" xfId="0" applyNumberFormat="1" applyFont="1" applyFill="1" applyBorder="1" applyAlignment="1" applyProtection="1">
      <alignment/>
      <protection hidden="1"/>
    </xf>
    <xf numFmtId="2" fontId="23" fillId="0" borderId="15" xfId="0" applyNumberFormat="1" applyFont="1" applyFill="1" applyBorder="1" applyAlignment="1" applyProtection="1">
      <alignment/>
      <protection hidden="1"/>
    </xf>
    <xf numFmtId="2" fontId="23" fillId="0" borderId="22" xfId="0" applyNumberFormat="1" applyFont="1" applyFill="1" applyBorder="1" applyAlignment="1" applyProtection="1">
      <alignment/>
      <protection hidden="1"/>
    </xf>
    <xf numFmtId="2" fontId="23" fillId="0" borderId="35" xfId="0" applyNumberFormat="1" applyFont="1" applyFill="1" applyBorder="1" applyAlignment="1" applyProtection="1">
      <alignment/>
      <protection hidden="1"/>
    </xf>
    <xf numFmtId="2" fontId="23" fillId="0" borderId="36" xfId="0" applyNumberFormat="1" applyFont="1" applyFill="1" applyBorder="1" applyAlignment="1" applyProtection="1">
      <alignment/>
      <protection hidden="1"/>
    </xf>
    <xf numFmtId="2" fontId="23" fillId="0" borderId="37" xfId="0" applyNumberFormat="1" applyFont="1" applyFill="1" applyBorder="1" applyAlignment="1" applyProtection="1">
      <alignment/>
      <protection hidden="1"/>
    </xf>
    <xf numFmtId="2" fontId="23" fillId="0" borderId="34" xfId="0" applyNumberFormat="1" applyFont="1" applyFill="1" applyBorder="1" applyAlignment="1">
      <alignment/>
    </xf>
    <xf numFmtId="2" fontId="23" fillId="0" borderId="38" xfId="0" applyNumberFormat="1" applyFont="1" applyFill="1" applyBorder="1" applyAlignment="1" applyProtection="1">
      <alignment/>
      <protection hidden="1"/>
    </xf>
    <xf numFmtId="2" fontId="23" fillId="0" borderId="33" xfId="0" applyNumberFormat="1" applyFont="1" applyFill="1" applyBorder="1" applyAlignment="1" applyProtection="1">
      <alignment/>
      <protection hidden="1"/>
    </xf>
    <xf numFmtId="2" fontId="23" fillId="0" borderId="39" xfId="0" applyNumberFormat="1" applyFont="1" applyFill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right"/>
      <protection hidden="1"/>
    </xf>
    <xf numFmtId="2" fontId="2" fillId="0" borderId="12" xfId="0" applyNumberFormat="1" applyFont="1" applyFill="1" applyBorder="1" applyAlignment="1" applyProtection="1">
      <alignment horizontal="right"/>
      <protection hidden="1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right"/>
      <protection hidden="1"/>
    </xf>
    <xf numFmtId="2" fontId="2" fillId="0" borderId="16" xfId="0" applyNumberFormat="1" applyFont="1" applyFill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2" fontId="2" fillId="0" borderId="26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7" fillId="0" borderId="28" xfId="0" applyFont="1" applyFill="1" applyBorder="1" applyAlignment="1" applyProtection="1" quotePrefix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/>
      <protection/>
    </xf>
    <xf numFmtId="0" fontId="0" fillId="0" borderId="22" xfId="0" applyFill="1" applyBorder="1" applyAlignment="1">
      <alignment/>
    </xf>
    <xf numFmtId="2" fontId="3" fillId="0" borderId="41" xfId="0" applyNumberFormat="1" applyFont="1" applyFill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32" fillId="0" borderId="12" xfId="0" applyFont="1" applyFill="1" applyBorder="1" applyAlignment="1" applyProtection="1">
      <alignment/>
      <protection locked="0"/>
    </xf>
    <xf numFmtId="0" fontId="132" fillId="0" borderId="21" xfId="0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 quotePrefix="1">
      <alignment horizontal="center"/>
      <protection hidden="1"/>
    </xf>
    <xf numFmtId="2" fontId="3" fillId="0" borderId="12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 quotePrefix="1">
      <alignment horizontal="center"/>
      <protection hidden="1"/>
    </xf>
    <xf numFmtId="2" fontId="3" fillId="0" borderId="16" xfId="0" applyNumberFormat="1" applyFont="1" applyFill="1" applyBorder="1" applyAlignment="1" applyProtection="1" quotePrefix="1">
      <alignment horizontal="center"/>
      <protection hidden="1"/>
    </xf>
    <xf numFmtId="2" fontId="3" fillId="0" borderId="0" xfId="0" applyNumberFormat="1" applyFont="1" applyFill="1" applyBorder="1" applyAlignment="1" applyProtection="1" quotePrefix="1">
      <alignment horizontal="center"/>
      <protection hidden="1"/>
    </xf>
    <xf numFmtId="2" fontId="3" fillId="0" borderId="15" xfId="0" applyNumberFormat="1" applyFont="1" applyFill="1" applyBorder="1" applyAlignment="1" applyProtection="1" quotePrefix="1">
      <alignment horizontal="center"/>
      <protection hidden="1"/>
    </xf>
    <xf numFmtId="0" fontId="27" fillId="0" borderId="14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hidden="1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 quotePrefix="1">
      <alignment horizontal="center"/>
      <protection hidden="1"/>
    </xf>
    <xf numFmtId="1" fontId="3" fillId="0" borderId="12" xfId="0" applyNumberFormat="1" applyFont="1" applyFill="1" applyBorder="1" applyAlignment="1" applyProtection="1">
      <alignment/>
      <protection hidden="1"/>
    </xf>
    <xf numFmtId="2" fontId="3" fillId="0" borderId="42" xfId="0" applyNumberFormat="1" applyFont="1" applyFill="1" applyBorder="1" applyAlignment="1" applyProtection="1" quotePrefix="1">
      <alignment horizontal="center"/>
      <protection hidden="1"/>
    </xf>
    <xf numFmtId="2" fontId="3" fillId="0" borderId="43" xfId="0" applyNumberFormat="1" applyFont="1" applyFill="1" applyBorder="1" applyAlignment="1" applyProtection="1" quotePrefix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3" fillId="0" borderId="32" xfId="0" applyNumberFormat="1" applyFont="1" applyFill="1" applyBorder="1" applyAlignment="1" applyProtection="1">
      <alignment/>
      <protection hidden="1"/>
    </xf>
    <xf numFmtId="2" fontId="3" fillId="0" borderId="30" xfId="0" applyNumberFormat="1" applyFont="1" applyFill="1" applyBorder="1" applyAlignment="1" applyProtection="1">
      <alignment/>
      <protection hidden="1"/>
    </xf>
    <xf numFmtId="0" fontId="133" fillId="0" borderId="16" xfId="0" applyFont="1" applyFill="1" applyBorder="1" applyAlignment="1" applyProtection="1">
      <alignment/>
      <protection locked="0"/>
    </xf>
    <xf numFmtId="0" fontId="133" fillId="0" borderId="12" xfId="0" applyFont="1" applyFill="1" applyBorder="1" applyAlignment="1" applyProtection="1">
      <alignment/>
      <protection locked="0"/>
    </xf>
    <xf numFmtId="0" fontId="133" fillId="0" borderId="21" xfId="0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hidden="1"/>
    </xf>
    <xf numFmtId="1" fontId="3" fillId="0" borderId="14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/>
      <protection hidden="1"/>
    </xf>
    <xf numFmtId="0" fontId="134" fillId="0" borderId="12" xfId="0" applyFont="1" applyFill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1" fontId="3" fillId="0" borderId="28" xfId="0" applyNumberFormat="1" applyFont="1" applyFill="1" applyBorder="1" applyAlignment="1" applyProtection="1" quotePrefix="1">
      <alignment horizontal="center"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12" xfId="0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1" fontId="16" fillId="0" borderId="44" xfId="0" applyNumberFormat="1" applyFont="1" applyFill="1" applyBorder="1" applyAlignment="1" applyProtection="1">
      <alignment horizontal="right"/>
      <protection locked="0"/>
    </xf>
    <xf numFmtId="1" fontId="3" fillId="0" borderId="28" xfId="0" applyNumberFormat="1" applyFont="1" applyFill="1" applyBorder="1" applyAlignment="1" applyProtection="1" quotePrefix="1">
      <alignment/>
      <protection hidden="1"/>
    </xf>
    <xf numFmtId="1" fontId="135" fillId="0" borderId="28" xfId="0" applyNumberFormat="1" applyFont="1" applyFill="1" applyBorder="1" applyAlignment="1" applyProtection="1" quotePrefix="1">
      <alignment horizontal="right"/>
      <protection locked="0"/>
    </xf>
    <xf numFmtId="0" fontId="3" fillId="0" borderId="16" xfId="0" applyFont="1" applyFill="1" applyBorder="1" applyAlignment="1">
      <alignment/>
    </xf>
    <xf numFmtId="0" fontId="3" fillId="0" borderId="21" xfId="0" applyFont="1" applyFill="1" applyBorder="1" applyAlignment="1" applyProtection="1">
      <alignment horizontal="left"/>
      <protection locked="0"/>
    </xf>
    <xf numFmtId="1" fontId="3" fillId="0" borderId="21" xfId="0" applyNumberFormat="1" applyFont="1" applyFill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1" fontId="3" fillId="0" borderId="28" xfId="0" applyNumberFormat="1" applyFont="1" applyFill="1" applyBorder="1" applyAlignment="1" applyProtection="1" quotePrefix="1">
      <alignment horizontal="right"/>
      <protection hidden="1"/>
    </xf>
    <xf numFmtId="1" fontId="3" fillId="0" borderId="21" xfId="0" applyNumberFormat="1" applyFont="1" applyFill="1" applyBorder="1" applyAlignment="1" applyProtection="1" quotePrefix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176" fontId="3" fillId="0" borderId="12" xfId="0" applyNumberFormat="1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1" fontId="135" fillId="0" borderId="44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 quotePrefix="1">
      <alignment horizontal="right"/>
      <protection hidden="1"/>
    </xf>
    <xf numFmtId="0" fontId="3" fillId="0" borderId="21" xfId="0" applyFont="1" applyFill="1" applyBorder="1" applyAlignment="1" applyProtection="1" quotePrefix="1">
      <alignment horizontal="right"/>
      <protection hidden="1"/>
    </xf>
    <xf numFmtId="0" fontId="3" fillId="0" borderId="22" xfId="0" applyFont="1" applyFill="1" applyBorder="1" applyAlignment="1" applyProtection="1" quotePrefix="1">
      <alignment horizontal="right"/>
      <protection hidden="1"/>
    </xf>
    <xf numFmtId="171" fontId="3" fillId="0" borderId="15" xfId="42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locked="0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 applyProtection="1">
      <alignment horizontal="center"/>
      <protection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178" fontId="7" fillId="0" borderId="47" xfId="42" applyNumberFormat="1" applyFont="1" applyFill="1" applyBorder="1" applyAlignment="1" applyProtection="1" quotePrefix="1">
      <alignment horizontal="center"/>
      <protection locked="0"/>
    </xf>
    <xf numFmtId="179" fontId="7" fillId="0" borderId="47" xfId="0" applyNumberFormat="1" applyFont="1" applyFill="1" applyBorder="1" applyAlignment="1" applyProtection="1" quotePrefix="1">
      <alignment horizontal="center"/>
      <protection locked="0"/>
    </xf>
    <xf numFmtId="179" fontId="3" fillId="0" borderId="47" xfId="0" applyNumberFormat="1" applyFont="1" applyFill="1" applyBorder="1" applyAlignment="1" applyProtection="1" quotePrefix="1">
      <alignment horizontal="right"/>
      <protection hidden="1"/>
    </xf>
    <xf numFmtId="0" fontId="7" fillId="0" borderId="48" xfId="0" applyFont="1" applyFill="1" applyBorder="1" applyAlignment="1" applyProtection="1" quotePrefix="1">
      <alignment horizontal="center"/>
      <protection locked="0"/>
    </xf>
    <xf numFmtId="0" fontId="3" fillId="0" borderId="49" xfId="0" applyFont="1" applyFill="1" applyBorder="1" applyAlignment="1" applyProtection="1">
      <alignment/>
      <protection hidden="1"/>
    </xf>
    <xf numFmtId="0" fontId="2" fillId="0" borderId="50" xfId="0" applyFont="1" applyFill="1" applyBorder="1" applyAlignment="1" applyProtection="1">
      <alignment horizontal="left"/>
      <protection hidden="1"/>
    </xf>
    <xf numFmtId="0" fontId="7" fillId="0" borderId="50" xfId="0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36" fillId="0" borderId="47" xfId="0" applyFont="1" applyFill="1" applyBorder="1" applyAlignment="1" applyProtection="1">
      <alignment horizontal="left"/>
      <protection/>
    </xf>
    <xf numFmtId="2" fontId="36" fillId="0" borderId="21" xfId="0" applyNumberFormat="1" applyFont="1" applyFill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NumberFormat="1" applyFont="1" applyFill="1" applyBorder="1" applyAlignment="1" applyProtection="1" quotePrefix="1">
      <alignment horizontal="center"/>
      <protection locked="0"/>
    </xf>
    <xf numFmtId="0" fontId="3" fillId="0" borderId="47" xfId="0" applyNumberFormat="1" applyFont="1" applyFill="1" applyBorder="1" applyAlignment="1" applyProtection="1" quotePrefix="1">
      <alignment horizontal="right"/>
      <protection hidden="1"/>
    </xf>
    <xf numFmtId="179" fontId="7" fillId="4" borderId="32" xfId="0" applyNumberFormat="1" applyFont="1" applyFill="1" applyBorder="1" applyAlignment="1" applyProtection="1" quotePrefix="1">
      <alignment horizontal="center"/>
      <protection hidden="1"/>
    </xf>
    <xf numFmtId="179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NumberFormat="1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NumberFormat="1" applyFont="1" applyFill="1" applyBorder="1" applyAlignment="1" applyProtection="1" quotePrefix="1">
      <alignment horizontal="right"/>
      <protection hidden="1"/>
    </xf>
    <xf numFmtId="179" fontId="7" fillId="0" borderId="54" xfId="0" applyNumberFormat="1" applyFont="1" applyFill="1" applyBorder="1" applyAlignment="1" applyProtection="1" quotePrefix="1">
      <alignment horizontal="center"/>
      <protection locked="0"/>
    </xf>
    <xf numFmtId="179" fontId="3" fillId="0" borderId="54" xfId="0" applyNumberFormat="1" applyFont="1" applyFill="1" applyBorder="1" applyAlignment="1" applyProtection="1" quotePrefix="1">
      <alignment horizontal="right"/>
      <protection locked="0"/>
    </xf>
    <xf numFmtId="0" fontId="136" fillId="0" borderId="54" xfId="0" applyNumberFormat="1" applyFont="1" applyFill="1" applyBorder="1" applyAlignment="1" applyProtection="1" quotePrefix="1">
      <alignment horizontal="center"/>
      <protection locked="0"/>
    </xf>
    <xf numFmtId="0" fontId="136" fillId="0" borderId="54" xfId="0" applyNumberFormat="1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 quotePrefix="1">
      <alignment horizontal="center"/>
      <protection locked="0"/>
    </xf>
    <xf numFmtId="179" fontId="7" fillId="4" borderId="12" xfId="0" applyNumberFormat="1" applyFont="1" applyFill="1" applyBorder="1" applyAlignment="1" applyProtection="1" quotePrefix="1">
      <alignment horizontal="center"/>
      <protection hidden="1"/>
    </xf>
    <xf numFmtId="179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NumberFormat="1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178" fontId="31" fillId="0" borderId="54" xfId="42" applyNumberFormat="1" applyFont="1" applyFill="1" applyBorder="1" applyAlignment="1" applyProtection="1" quotePrefix="1">
      <alignment horizontal="center"/>
      <protection locked="0"/>
    </xf>
    <xf numFmtId="178" fontId="31" fillId="4" borderId="12" xfId="42" applyNumberFormat="1" applyFont="1" applyFill="1" applyBorder="1" applyAlignment="1" applyProtection="1" quotePrefix="1">
      <alignment horizontal="center"/>
      <protection hidden="1"/>
    </xf>
    <xf numFmtId="178" fontId="31" fillId="4" borderId="32" xfId="42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171" fontId="3" fillId="0" borderId="12" xfId="42" applyFont="1" applyFill="1" applyBorder="1" applyAlignment="1" applyProtection="1">
      <alignment horizontal="center"/>
      <protection hidden="1"/>
    </xf>
    <xf numFmtId="2" fontId="3" fillId="0" borderId="21" xfId="0" applyNumberFormat="1" applyFont="1" applyFill="1" applyBorder="1" applyAlignment="1" applyProtection="1">
      <alignment horizontal="right"/>
      <protection hidden="1"/>
    </xf>
    <xf numFmtId="171" fontId="3" fillId="0" borderId="21" xfId="42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8" fontId="137" fillId="4" borderId="12" xfId="42" applyNumberFormat="1" applyFont="1" applyFill="1" applyBorder="1" applyAlignment="1" applyProtection="1" quotePrefix="1">
      <alignment horizontal="center"/>
      <protection hidden="1"/>
    </xf>
    <xf numFmtId="179" fontId="137" fillId="4" borderId="12" xfId="0" applyNumberFormat="1" applyFont="1" applyFill="1" applyBorder="1" applyAlignment="1" applyProtection="1" quotePrefix="1">
      <alignment horizontal="center"/>
      <protection hidden="1"/>
    </xf>
    <xf numFmtId="179" fontId="137" fillId="4" borderId="12" xfId="0" applyNumberFormat="1" applyFont="1" applyFill="1" applyBorder="1" applyAlignment="1" applyProtection="1" quotePrefix="1">
      <alignment horizontal="right"/>
      <protection hidden="1"/>
    </xf>
    <xf numFmtId="0" fontId="137" fillId="4" borderId="12" xfId="0" applyNumberFormat="1" applyFont="1" applyFill="1" applyBorder="1" applyAlignment="1" applyProtection="1" quotePrefix="1">
      <alignment horizontal="center"/>
      <protection hidden="1"/>
    </xf>
    <xf numFmtId="0" fontId="137" fillId="4" borderId="56" xfId="0" applyFont="1" applyFill="1" applyBorder="1" applyAlignment="1" applyProtection="1" quotePrefix="1">
      <alignment horizontal="center"/>
      <protection hidden="1"/>
    </xf>
    <xf numFmtId="178" fontId="137" fillId="4" borderId="32" xfId="42" applyNumberFormat="1" applyFont="1" applyFill="1" applyBorder="1" applyAlignment="1" applyProtection="1" quotePrefix="1">
      <alignment horizontal="center"/>
      <protection hidden="1"/>
    </xf>
    <xf numFmtId="179" fontId="137" fillId="4" borderId="32" xfId="0" applyNumberFormat="1" applyFont="1" applyFill="1" applyBorder="1" applyAlignment="1" applyProtection="1" quotePrefix="1">
      <alignment horizontal="center"/>
      <protection hidden="1"/>
    </xf>
    <xf numFmtId="179" fontId="137" fillId="4" borderId="32" xfId="0" applyNumberFormat="1" applyFont="1" applyFill="1" applyBorder="1" applyAlignment="1" applyProtection="1" quotePrefix="1">
      <alignment horizontal="right"/>
      <protection hidden="1"/>
    </xf>
    <xf numFmtId="0" fontId="137" fillId="4" borderId="32" xfId="0" applyNumberFormat="1" applyFont="1" applyFill="1" applyBorder="1" applyAlignment="1" applyProtection="1" quotePrefix="1">
      <alignment horizontal="center"/>
      <protection hidden="1"/>
    </xf>
    <xf numFmtId="0" fontId="137" fillId="4" borderId="32" xfId="0" applyNumberFormat="1" applyFont="1" applyFill="1" applyBorder="1" applyAlignment="1" applyProtection="1" quotePrefix="1">
      <alignment horizontal="right"/>
      <protection hidden="1"/>
    </xf>
    <xf numFmtId="0" fontId="137" fillId="4" borderId="53" xfId="0" applyFont="1" applyFill="1" applyBorder="1" applyAlignment="1" applyProtection="1" quotePrefix="1">
      <alignment horizontal="center"/>
      <protection hidden="1"/>
    </xf>
    <xf numFmtId="178" fontId="138" fillId="4" borderId="12" xfId="42" applyNumberFormat="1" applyFont="1" applyFill="1" applyBorder="1" applyAlignment="1" applyProtection="1" quotePrefix="1">
      <alignment horizontal="center"/>
      <protection hidden="1"/>
    </xf>
    <xf numFmtId="178" fontId="138" fillId="4" borderId="32" xfId="42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2" fillId="0" borderId="57" xfId="0" applyFont="1" applyFill="1" applyBorder="1" applyAlignment="1" applyProtection="1">
      <alignment/>
      <protection hidden="1"/>
    </xf>
    <xf numFmtId="0" fontId="2" fillId="0" borderId="58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Fill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Fill="1" applyBorder="1" applyAlignment="1">
      <alignment/>
    </xf>
    <xf numFmtId="2" fontId="3" fillId="0" borderId="63" xfId="0" applyNumberFormat="1" applyFont="1" applyFill="1" applyBorder="1" applyAlignment="1" applyProtection="1">
      <alignment horizontal="right"/>
      <protection hidden="1"/>
    </xf>
    <xf numFmtId="0" fontId="3" fillId="0" borderId="64" xfId="0" applyFont="1" applyFill="1" applyBorder="1" applyAlignment="1" applyProtection="1">
      <alignment/>
      <protection hidden="1"/>
    </xf>
    <xf numFmtId="0" fontId="3" fillId="0" borderId="65" xfId="0" applyFont="1" applyFill="1" applyBorder="1" applyAlignment="1" applyProtection="1">
      <alignment/>
      <protection hidden="1"/>
    </xf>
    <xf numFmtId="0" fontId="139" fillId="0" borderId="14" xfId="0" applyFont="1" applyFill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37" fillId="4" borderId="14" xfId="0" applyNumberFormat="1" applyFont="1" applyFill="1" applyBorder="1" applyAlignment="1" applyProtection="1" quotePrefix="1">
      <alignment horizontal="center"/>
      <protection hidden="1"/>
    </xf>
    <xf numFmtId="2" fontId="137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Fill="1" applyBorder="1" applyAlignment="1" applyProtection="1" quotePrefix="1">
      <alignment horizontal="center"/>
      <protection hidden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39" fillId="0" borderId="6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0" fontId="3" fillId="0" borderId="13" xfId="0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177" fontId="3" fillId="0" borderId="0" xfId="42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Fill="1" applyBorder="1" applyAlignment="1" applyProtection="1">
      <alignment/>
      <protection hidden="1"/>
    </xf>
    <xf numFmtId="0" fontId="2" fillId="0" borderId="68" xfId="0" applyFont="1" applyFill="1" applyBorder="1" applyAlignment="1" applyProtection="1">
      <alignment/>
      <protection hidden="1"/>
    </xf>
    <xf numFmtId="0" fontId="2" fillId="0" borderId="68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1" fontId="140" fillId="0" borderId="12" xfId="0" applyNumberFormat="1" applyFont="1" applyFill="1" applyBorder="1" applyAlignment="1" applyProtection="1">
      <alignment horizontal="right"/>
      <protection hidden="1"/>
    </xf>
    <xf numFmtId="1" fontId="140" fillId="0" borderId="21" xfId="0" applyNumberFormat="1" applyFont="1" applyFill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41" fillId="0" borderId="12" xfId="0" applyFont="1" applyBorder="1" applyAlignment="1" applyProtection="1">
      <alignment/>
      <protection locked="0"/>
    </xf>
    <xf numFmtId="2" fontId="2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 quotePrefix="1">
      <alignment horizontal="right"/>
      <protection hidden="1"/>
    </xf>
    <xf numFmtId="0" fontId="141" fillId="0" borderId="14" xfId="0" applyFont="1" applyFill="1" applyBorder="1" applyAlignment="1" applyProtection="1" quotePrefix="1">
      <alignment horizontal="right"/>
      <protection locked="0"/>
    </xf>
    <xf numFmtId="0" fontId="3" fillId="0" borderId="18" xfId="0" applyFont="1" applyFill="1" applyBorder="1" applyAlignment="1">
      <alignment/>
    </xf>
    <xf numFmtId="0" fontId="141" fillId="0" borderId="16" xfId="0" applyFont="1" applyFill="1" applyBorder="1" applyAlignment="1" applyProtection="1" quotePrefix="1">
      <alignment horizontal="right"/>
      <protection locked="0"/>
    </xf>
    <xf numFmtId="0" fontId="141" fillId="4" borderId="14" xfId="0" applyFont="1" applyFill="1" applyBorder="1" applyAlignment="1" applyProtection="1">
      <alignment horizontal="center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41" fillId="4" borderId="20" xfId="0" applyFont="1" applyFill="1" applyBorder="1" applyAlignment="1" applyProtection="1">
      <alignment horizontal="center"/>
      <protection locked="0"/>
    </xf>
    <xf numFmtId="0" fontId="141" fillId="0" borderId="19" xfId="0" applyFont="1" applyFill="1" applyBorder="1" applyAlignment="1" applyProtection="1" quotePrefix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 quotePrefix="1">
      <alignment horizontal="center"/>
      <protection hidden="1"/>
    </xf>
    <xf numFmtId="0" fontId="8" fillId="0" borderId="13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0" borderId="16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7" fillId="0" borderId="12" xfId="0" applyFont="1" applyFill="1" applyBorder="1" applyAlignment="1">
      <alignment/>
    </xf>
    <xf numFmtId="0" fontId="7" fillId="0" borderId="28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41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/>
    </xf>
    <xf numFmtId="0" fontId="7" fillId="0" borderId="69" xfId="0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right"/>
      <protection hidden="1"/>
    </xf>
    <xf numFmtId="177" fontId="3" fillId="0" borderId="12" xfId="42" applyNumberFormat="1" applyFont="1" applyFill="1" applyBorder="1" applyAlignment="1" applyProtection="1" quotePrefix="1">
      <alignment horizontal="right"/>
      <protection hidden="1"/>
    </xf>
    <xf numFmtId="0" fontId="7" fillId="0" borderId="70" xfId="0" applyFont="1" applyFill="1" applyBorder="1" applyAlignment="1" applyProtection="1">
      <alignment horizontal="center"/>
      <protection locked="0"/>
    </xf>
    <xf numFmtId="0" fontId="141" fillId="0" borderId="0" xfId="0" applyFont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141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2" fontId="23" fillId="0" borderId="30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 quotePrefix="1">
      <alignment horizontal="center"/>
      <protection locked="0"/>
    </xf>
    <xf numFmtId="0" fontId="14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 applyProtection="1">
      <alignment horizontal="right"/>
      <protection hidden="1"/>
    </xf>
    <xf numFmtId="2" fontId="3" fillId="0" borderId="72" xfId="0" applyNumberFormat="1" applyFont="1" applyFill="1" applyBorder="1" applyAlignment="1" applyProtection="1">
      <alignment horizontal="right"/>
      <protection hidden="1"/>
    </xf>
    <xf numFmtId="2" fontId="3" fillId="0" borderId="73" xfId="0" applyNumberFormat="1" applyFont="1" applyFill="1" applyBorder="1" applyAlignment="1" applyProtection="1">
      <alignment horizontal="right"/>
      <protection hidden="1"/>
    </xf>
    <xf numFmtId="2" fontId="3" fillId="0" borderId="74" xfId="0" applyNumberFormat="1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4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 locked="0"/>
    </xf>
    <xf numFmtId="1" fontId="141" fillId="0" borderId="21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2" fontId="3" fillId="0" borderId="0" xfId="0" applyNumberFormat="1" applyFont="1" applyFill="1" applyAlignment="1">
      <alignment horizontal="right"/>
    </xf>
    <xf numFmtId="0" fontId="141" fillId="0" borderId="14" xfId="0" applyFont="1" applyBorder="1" applyAlignment="1" applyProtection="1">
      <alignment/>
      <protection locked="0"/>
    </xf>
    <xf numFmtId="0" fontId="142" fillId="0" borderId="14" xfId="0" applyFont="1" applyBorder="1" applyAlignment="1" applyProtection="1">
      <alignment/>
      <protection locked="0"/>
    </xf>
    <xf numFmtId="0" fontId="140" fillId="0" borderId="14" xfId="0" applyFont="1" applyBorder="1" applyAlignment="1" applyProtection="1">
      <alignment/>
      <protection locked="0"/>
    </xf>
    <xf numFmtId="171" fontId="3" fillId="36" borderId="14" xfId="42" applyFont="1" applyFill="1" applyBorder="1" applyAlignment="1">
      <alignment/>
    </xf>
    <xf numFmtId="0" fontId="3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143" fillId="37" borderId="14" xfId="0" applyFont="1" applyFill="1" applyBorder="1" applyAlignment="1" applyProtection="1">
      <alignment/>
      <protection locked="0"/>
    </xf>
    <xf numFmtId="0" fontId="144" fillId="0" borderId="12" xfId="0" applyFont="1" applyFill="1" applyBorder="1" applyAlignment="1" applyProtection="1">
      <alignment/>
      <protection locked="0"/>
    </xf>
    <xf numFmtId="0" fontId="144" fillId="37" borderId="12" xfId="0" applyFont="1" applyFill="1" applyBorder="1" applyAlignment="1" applyProtection="1">
      <alignment/>
      <protection locked="0"/>
    </xf>
    <xf numFmtId="0" fontId="141" fillId="0" borderId="12" xfId="0" applyFont="1" applyFill="1" applyBorder="1" applyAlignment="1" applyProtection="1">
      <alignment/>
      <protection locked="0"/>
    </xf>
    <xf numFmtId="0" fontId="145" fillId="37" borderId="14" xfId="0" applyFont="1" applyFill="1" applyBorder="1" applyAlignment="1" applyProtection="1">
      <alignment/>
      <protection locked="0"/>
    </xf>
    <xf numFmtId="2" fontId="136" fillId="0" borderId="75" xfId="0" applyNumberFormat="1" applyFont="1" applyFill="1" applyBorder="1" applyAlignment="1" applyProtection="1" quotePrefix="1">
      <alignment horizontal="center"/>
      <protection hidden="1"/>
    </xf>
    <xf numFmtId="0" fontId="141" fillId="0" borderId="15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41" fillId="0" borderId="0" xfId="0" applyFont="1" applyAlignment="1">
      <alignment horizontal="center"/>
    </xf>
    <xf numFmtId="0" fontId="146" fillId="0" borderId="12" xfId="0" applyFont="1" applyFill="1" applyBorder="1" applyAlignment="1" applyProtection="1">
      <alignment/>
      <protection locked="0"/>
    </xf>
    <xf numFmtId="0" fontId="146" fillId="0" borderId="21" xfId="0" applyFont="1" applyFill="1" applyBorder="1" applyAlignment="1" applyProtection="1">
      <alignment/>
      <protection locked="0"/>
    </xf>
    <xf numFmtId="2" fontId="23" fillId="0" borderId="76" xfId="0" applyNumberFormat="1" applyFont="1" applyFill="1" applyBorder="1" applyAlignment="1" applyProtection="1">
      <alignment/>
      <protection hidden="1"/>
    </xf>
    <xf numFmtId="2" fontId="23" fillId="0" borderId="77" xfId="0" applyNumberFormat="1" applyFont="1" applyFill="1" applyBorder="1" applyAlignment="1" applyProtection="1">
      <alignment horizontal="center"/>
      <protection hidden="1"/>
    </xf>
    <xf numFmtId="2" fontId="6" fillId="0" borderId="33" xfId="0" applyNumberFormat="1" applyFont="1" applyFill="1" applyBorder="1" applyAlignment="1" applyProtection="1">
      <alignment/>
      <protection hidden="1"/>
    </xf>
    <xf numFmtId="0" fontId="141" fillId="0" borderId="21" xfId="0" applyFont="1" applyFill="1" applyBorder="1" applyAlignment="1" applyProtection="1">
      <alignment/>
      <protection locked="0"/>
    </xf>
    <xf numFmtId="171" fontId="3" fillId="0" borderId="0" xfId="42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9" xfId="0" applyFont="1" applyFill="1" applyBorder="1" applyAlignment="1" applyProtection="1">
      <alignment horizontal="left"/>
      <protection locked="0"/>
    </xf>
    <xf numFmtId="1" fontId="135" fillId="0" borderId="78" xfId="0" applyNumberFormat="1" applyFont="1" applyFill="1" applyBorder="1" applyAlignment="1" applyProtection="1" quotePrefix="1">
      <alignment horizontal="right"/>
      <protection locked="0"/>
    </xf>
    <xf numFmtId="1" fontId="3" fillId="0" borderId="79" xfId="0" applyNumberFormat="1" applyFont="1" applyFill="1" applyBorder="1" applyAlignment="1" applyProtection="1" quotePrefix="1">
      <alignment/>
      <protection hidden="1"/>
    </xf>
    <xf numFmtId="1" fontId="3" fillId="0" borderId="79" xfId="0" applyNumberFormat="1" applyFont="1" applyFill="1" applyBorder="1" applyAlignment="1" applyProtection="1" quotePrefix="1">
      <alignment horizontal="center"/>
      <protection hidden="1"/>
    </xf>
    <xf numFmtId="0" fontId="8" fillId="0" borderId="80" xfId="0" applyFont="1" applyBorder="1" applyAlignment="1" applyProtection="1">
      <alignment/>
      <protection locked="0"/>
    </xf>
    <xf numFmtId="1" fontId="7" fillId="0" borderId="21" xfId="0" applyNumberFormat="1" applyFont="1" applyFill="1" applyBorder="1" applyAlignment="1" applyProtection="1" quotePrefix="1">
      <alignment horizontal="right"/>
      <protection locked="0"/>
    </xf>
    <xf numFmtId="1" fontId="135" fillId="0" borderId="79" xfId="0" applyNumberFormat="1" applyFont="1" applyFill="1" applyBorder="1" applyAlignment="1" applyProtection="1" quotePrefix="1">
      <alignment horizontal="right"/>
      <protection locked="0"/>
    </xf>
    <xf numFmtId="2" fontId="3" fillId="0" borderId="80" xfId="0" applyNumberFormat="1" applyFont="1" applyBorder="1" applyAlignment="1" applyProtection="1" quotePrefix="1">
      <alignment horizontal="center"/>
      <protection hidden="1"/>
    </xf>
    <xf numFmtId="1" fontId="135" fillId="0" borderId="21" xfId="0" applyNumberFormat="1" applyFont="1" applyFill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171" fontId="2" fillId="35" borderId="18" xfId="42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9" fillId="0" borderId="17" xfId="0" applyFont="1" applyFill="1" applyBorder="1" applyAlignment="1">
      <alignment horizontal="center"/>
    </xf>
    <xf numFmtId="1" fontId="147" fillId="0" borderId="40" xfId="0" applyNumberFormat="1" applyFont="1" applyFill="1" applyBorder="1" applyAlignment="1" quotePrefix="1">
      <alignment horizontal="center"/>
    </xf>
    <xf numFmtId="2" fontId="147" fillId="0" borderId="40" xfId="0" applyNumberFormat="1" applyFont="1" applyFill="1" applyBorder="1" applyAlignment="1" quotePrefix="1">
      <alignment horizontal="center"/>
    </xf>
    <xf numFmtId="2" fontId="147" fillId="0" borderId="40" xfId="0" applyNumberFormat="1" applyFont="1" applyFill="1" applyBorder="1" applyAlignment="1" applyProtection="1" quotePrefix="1">
      <alignment horizontal="center"/>
      <protection/>
    </xf>
    <xf numFmtId="0" fontId="139" fillId="0" borderId="13" xfId="0" applyFont="1" applyFill="1" applyBorder="1" applyAlignment="1">
      <alignment horizontal="center"/>
    </xf>
    <xf numFmtId="0" fontId="141" fillId="0" borderId="0" xfId="0" applyFont="1" applyBorder="1" applyAlignment="1" applyProtection="1">
      <alignment/>
      <protection locked="0"/>
    </xf>
    <xf numFmtId="1" fontId="7" fillId="0" borderId="81" xfId="0" applyNumberFormat="1" applyFont="1" applyFill="1" applyBorder="1" applyAlignment="1" applyProtection="1">
      <alignment/>
      <protection locked="0"/>
    </xf>
    <xf numFmtId="1" fontId="7" fillId="0" borderId="70" xfId="0" applyNumberFormat="1" applyFont="1" applyFill="1" applyBorder="1" applyAlignment="1" applyProtection="1">
      <alignment/>
      <protection locked="0"/>
    </xf>
    <xf numFmtId="1" fontId="7" fillId="0" borderId="82" xfId="0" applyNumberFormat="1" applyFont="1" applyFill="1" applyBorder="1" applyAlignment="1" applyProtection="1">
      <alignment/>
      <protection locked="0"/>
    </xf>
    <xf numFmtId="1" fontId="7" fillId="0" borderId="83" xfId="0" applyNumberFormat="1" applyFont="1" applyFill="1" applyBorder="1" applyAlignment="1" applyProtection="1">
      <alignment/>
      <protection locked="0"/>
    </xf>
    <xf numFmtId="1" fontId="7" fillId="0" borderId="84" xfId="0" applyNumberFormat="1" applyFont="1" applyFill="1" applyBorder="1" applyAlignment="1" applyProtection="1">
      <alignment/>
      <protection locked="0"/>
    </xf>
    <xf numFmtId="1" fontId="7" fillId="0" borderId="85" xfId="0" applyNumberFormat="1" applyFont="1" applyFill="1" applyBorder="1" applyAlignment="1" applyProtection="1">
      <alignment/>
      <protection locked="0"/>
    </xf>
    <xf numFmtId="2" fontId="145" fillId="0" borderId="84" xfId="0" applyNumberFormat="1" applyFont="1" applyFill="1" applyBorder="1" applyAlignment="1" applyProtection="1">
      <alignment/>
      <protection hidden="1"/>
    </xf>
    <xf numFmtId="2" fontId="145" fillId="0" borderId="86" xfId="0" applyNumberFormat="1" applyFont="1" applyFill="1" applyBorder="1" applyAlignment="1" applyProtection="1">
      <alignment/>
      <protection hidden="1"/>
    </xf>
    <xf numFmtId="2" fontId="145" fillId="0" borderId="87" xfId="0" applyNumberFormat="1" applyFont="1" applyFill="1" applyBorder="1" applyAlignment="1" applyProtection="1">
      <alignment/>
      <protection hidden="1"/>
    </xf>
    <xf numFmtId="2" fontId="6" fillId="0" borderId="85" xfId="0" applyNumberFormat="1" applyFont="1" applyFill="1" applyBorder="1" applyAlignment="1" applyProtection="1">
      <alignment/>
      <protection hidden="1"/>
    </xf>
    <xf numFmtId="1" fontId="7" fillId="0" borderId="88" xfId="0" applyNumberFormat="1" applyFont="1" applyFill="1" applyBorder="1" applyAlignment="1" applyProtection="1">
      <alignment/>
      <protection locked="0"/>
    </xf>
    <xf numFmtId="1" fontId="7" fillId="0" borderId="89" xfId="0" applyNumberFormat="1" applyFont="1" applyFill="1" applyBorder="1" applyAlignment="1" applyProtection="1">
      <alignment/>
      <protection locked="0"/>
    </xf>
    <xf numFmtId="2" fontId="6" fillId="0" borderId="89" xfId="0" applyNumberFormat="1" applyFont="1" applyFill="1" applyBorder="1" applyAlignment="1" applyProtection="1">
      <alignment/>
      <protection hidden="1"/>
    </xf>
    <xf numFmtId="2" fontId="148" fillId="0" borderId="90" xfId="0" applyNumberFormat="1" applyFont="1" applyFill="1" applyBorder="1" applyAlignment="1" applyProtection="1">
      <alignment/>
      <protection hidden="1"/>
    </xf>
    <xf numFmtId="2" fontId="148" fillId="0" borderId="91" xfId="0" applyNumberFormat="1" applyFont="1" applyFill="1" applyBorder="1" applyAlignment="1" applyProtection="1">
      <alignment/>
      <protection hidden="1"/>
    </xf>
    <xf numFmtId="2" fontId="148" fillId="0" borderId="92" xfId="0" applyNumberFormat="1" applyFont="1" applyFill="1" applyBorder="1" applyAlignment="1" applyProtection="1">
      <alignment/>
      <protection hidden="1"/>
    </xf>
    <xf numFmtId="2" fontId="6" fillId="0" borderId="93" xfId="0" applyNumberFormat="1" applyFont="1" applyFill="1" applyBorder="1" applyAlignment="1" applyProtection="1">
      <alignment/>
      <protection hidden="1"/>
    </xf>
    <xf numFmtId="2" fontId="6" fillId="0" borderId="83" xfId="0" applyNumberFormat="1" applyFont="1" applyFill="1" applyBorder="1" applyAlignment="1" applyProtection="1">
      <alignment/>
      <protection hidden="1"/>
    </xf>
    <xf numFmtId="1" fontId="7" fillId="37" borderId="88" xfId="0" applyNumberFormat="1" applyFont="1" applyFill="1" applyBorder="1" applyAlignment="1" applyProtection="1">
      <alignment/>
      <protection locked="0"/>
    </xf>
    <xf numFmtId="1" fontId="7" fillId="37" borderId="89" xfId="0" applyNumberFormat="1" applyFont="1" applyFill="1" applyBorder="1" applyAlignment="1" applyProtection="1">
      <alignment/>
      <protection locked="0"/>
    </xf>
    <xf numFmtId="1" fontId="7" fillId="0" borderId="90" xfId="0" applyNumberFormat="1" applyFont="1" applyFill="1" applyBorder="1" applyAlignment="1" applyProtection="1">
      <alignment/>
      <protection locked="0"/>
    </xf>
    <xf numFmtId="1" fontId="7" fillId="0" borderId="93" xfId="0" applyNumberFormat="1" applyFont="1" applyFill="1" applyBorder="1" applyAlignment="1" applyProtection="1">
      <alignment/>
      <protection locked="0"/>
    </xf>
    <xf numFmtId="2" fontId="6" fillId="0" borderId="94" xfId="0" applyNumberFormat="1" applyFont="1" applyFill="1" applyBorder="1" applyAlignment="1" applyProtection="1">
      <alignment/>
      <protection hidden="1"/>
    </xf>
    <xf numFmtId="1" fontId="141" fillId="38" borderId="77" xfId="0" applyNumberFormat="1" applyFont="1" applyFill="1" applyBorder="1" applyAlignment="1" applyProtection="1">
      <alignment/>
      <protection locked="0"/>
    </xf>
    <xf numFmtId="1" fontId="141" fillId="38" borderId="33" xfId="0" applyNumberFormat="1" applyFont="1" applyFill="1" applyBorder="1" applyAlignment="1" applyProtection="1">
      <alignment/>
      <protection locked="0"/>
    </xf>
    <xf numFmtId="1" fontId="141" fillId="38" borderId="35" xfId="0" applyNumberFormat="1" applyFont="1" applyFill="1" applyBorder="1" applyAlignment="1" applyProtection="1">
      <alignment/>
      <protection locked="0"/>
    </xf>
    <xf numFmtId="1" fontId="141" fillId="38" borderId="30" xfId="0" applyNumberFormat="1" applyFont="1" applyFill="1" applyBorder="1" applyAlignment="1" applyProtection="1">
      <alignment/>
      <protection locked="0"/>
    </xf>
    <xf numFmtId="1" fontId="141" fillId="0" borderId="13" xfId="0" applyNumberFormat="1" applyFont="1" applyFill="1" applyBorder="1" applyAlignment="1" applyProtection="1">
      <alignment/>
      <protection locked="0"/>
    </xf>
    <xf numFmtId="1" fontId="141" fillId="0" borderId="23" xfId="0" applyNumberFormat="1" applyFont="1" applyFill="1" applyBorder="1" applyAlignment="1" applyProtection="1">
      <alignment/>
      <protection locked="0"/>
    </xf>
    <xf numFmtId="1" fontId="141" fillId="0" borderId="32" xfId="0" applyNumberFormat="1" applyFont="1" applyFill="1" applyBorder="1" applyAlignment="1" applyProtection="1">
      <alignment/>
      <protection locked="0"/>
    </xf>
    <xf numFmtId="1" fontId="141" fillId="0" borderId="77" xfId="0" applyNumberFormat="1" applyFont="1" applyFill="1" applyBorder="1" applyAlignment="1" applyProtection="1">
      <alignment/>
      <protection locked="0"/>
    </xf>
    <xf numFmtId="1" fontId="141" fillId="0" borderId="33" xfId="0" applyNumberFormat="1" applyFont="1" applyFill="1" applyBorder="1" applyAlignment="1" applyProtection="1">
      <alignment/>
      <protection locked="0"/>
    </xf>
    <xf numFmtId="1" fontId="141" fillId="0" borderId="15" xfId="0" applyNumberFormat="1" applyFont="1" applyFill="1" applyBorder="1" applyAlignment="1" applyProtection="1">
      <alignment/>
      <protection locked="0"/>
    </xf>
    <xf numFmtId="1" fontId="141" fillId="0" borderId="34" xfId="0" applyNumberFormat="1" applyFont="1" applyFill="1" applyBorder="1" applyAlignment="1" applyProtection="1">
      <alignment/>
      <protection locked="0"/>
    </xf>
    <xf numFmtId="1" fontId="7" fillId="0" borderId="23" xfId="0" applyNumberFormat="1" applyFont="1" applyFill="1" applyBorder="1" applyAlignment="1" applyProtection="1">
      <alignment/>
      <protection locked="0"/>
    </xf>
    <xf numFmtId="1" fontId="7" fillId="0" borderId="32" xfId="0" applyNumberFormat="1" applyFont="1" applyFill="1" applyBorder="1" applyAlignment="1" applyProtection="1">
      <alignment/>
      <protection locked="0"/>
    </xf>
    <xf numFmtId="1" fontId="7" fillId="0" borderId="77" xfId="0" applyNumberFormat="1" applyFont="1" applyFill="1" applyBorder="1" applyAlignment="1" applyProtection="1">
      <alignment/>
      <protection locked="0"/>
    </xf>
    <xf numFmtId="1" fontId="7" fillId="0" borderId="33" xfId="0" applyNumberFormat="1" applyFont="1" applyFill="1" applyBorder="1" applyAlignment="1" applyProtection="1">
      <alignment/>
      <protection locked="0"/>
    </xf>
    <xf numFmtId="2" fontId="132" fillId="0" borderId="15" xfId="0" applyNumberFormat="1" applyFont="1" applyFill="1" applyBorder="1" applyAlignment="1" applyProtection="1">
      <alignment/>
      <protection hidden="1"/>
    </xf>
    <xf numFmtId="2" fontId="132" fillId="0" borderId="38" xfId="0" applyNumberFormat="1" applyFont="1" applyFill="1" applyBorder="1" applyAlignment="1" applyProtection="1">
      <alignment/>
      <protection hidden="1"/>
    </xf>
    <xf numFmtId="2" fontId="132" fillId="0" borderId="22" xfId="0" applyNumberFormat="1" applyFont="1" applyFill="1" applyBorder="1" applyAlignment="1" applyProtection="1">
      <alignment/>
      <protection hidden="1"/>
    </xf>
    <xf numFmtId="1" fontId="7" fillId="0" borderId="95" xfId="0" applyNumberFormat="1" applyFont="1" applyFill="1" applyBorder="1" applyAlignment="1" applyProtection="1">
      <alignment/>
      <protection locked="0"/>
    </xf>
    <xf numFmtId="1" fontId="7" fillId="0" borderId="96" xfId="0" applyNumberFormat="1" applyFont="1" applyFill="1" applyBorder="1" applyAlignment="1" applyProtection="1">
      <alignment/>
      <protection locked="0"/>
    </xf>
    <xf numFmtId="2" fontId="132" fillId="0" borderId="95" xfId="0" applyNumberFormat="1" applyFont="1" applyFill="1" applyBorder="1" applyAlignment="1" applyProtection="1">
      <alignment/>
      <protection hidden="1"/>
    </xf>
    <xf numFmtId="2" fontId="132" fillId="0" borderId="97" xfId="0" applyNumberFormat="1" applyFont="1" applyFill="1" applyBorder="1" applyAlignment="1" applyProtection="1">
      <alignment/>
      <protection hidden="1"/>
    </xf>
    <xf numFmtId="2" fontId="132" fillId="0" borderId="98" xfId="0" applyNumberFormat="1" applyFont="1" applyFill="1" applyBorder="1" applyAlignment="1" applyProtection="1">
      <alignment/>
      <protection hidden="1"/>
    </xf>
    <xf numFmtId="1" fontId="7" fillId="0" borderId="99" xfId="0" applyNumberFormat="1" applyFont="1" applyFill="1" applyBorder="1" applyAlignment="1" applyProtection="1">
      <alignment/>
      <protection locked="0"/>
    </xf>
    <xf numFmtId="1" fontId="7" fillId="0" borderId="100" xfId="0" applyNumberFormat="1" applyFont="1" applyFill="1" applyBorder="1" applyAlignment="1" applyProtection="1">
      <alignment/>
      <protection locked="0"/>
    </xf>
    <xf numFmtId="2" fontId="132" fillId="0" borderId="99" xfId="0" applyNumberFormat="1" applyFont="1" applyFill="1" applyBorder="1" applyAlignment="1" applyProtection="1">
      <alignment/>
      <protection hidden="1"/>
    </xf>
    <xf numFmtId="2" fontId="132" fillId="0" borderId="101" xfId="0" applyNumberFormat="1" applyFont="1" applyFill="1" applyBorder="1" applyAlignment="1" applyProtection="1">
      <alignment/>
      <protection hidden="1"/>
    </xf>
    <xf numFmtId="2" fontId="132" fillId="0" borderId="102" xfId="0" applyNumberFormat="1" applyFont="1" applyFill="1" applyBorder="1" applyAlignment="1" applyProtection="1">
      <alignment/>
      <protection hidden="1"/>
    </xf>
    <xf numFmtId="2" fontId="23" fillId="0" borderId="95" xfId="0" applyNumberFormat="1" applyFont="1" applyFill="1" applyBorder="1" applyAlignment="1" applyProtection="1">
      <alignment/>
      <protection hidden="1"/>
    </xf>
    <xf numFmtId="2" fontId="23" fillId="0" borderId="97" xfId="0" applyNumberFormat="1" applyFont="1" applyFill="1" applyBorder="1" applyAlignment="1" applyProtection="1">
      <alignment/>
      <protection hidden="1"/>
    </xf>
    <xf numFmtId="2" fontId="23" fillId="0" borderId="98" xfId="0" applyNumberFormat="1" applyFont="1" applyFill="1" applyBorder="1" applyAlignment="1" applyProtection="1">
      <alignment/>
      <protection hidden="1"/>
    </xf>
    <xf numFmtId="2" fontId="6" fillId="0" borderId="96" xfId="0" applyNumberFormat="1" applyFont="1" applyFill="1" applyBorder="1" applyAlignment="1" applyProtection="1">
      <alignment/>
      <protection hidden="1"/>
    </xf>
    <xf numFmtId="2" fontId="23" fillId="0" borderId="99" xfId="0" applyNumberFormat="1" applyFont="1" applyFill="1" applyBorder="1" applyAlignment="1" applyProtection="1">
      <alignment/>
      <protection hidden="1"/>
    </xf>
    <xf numFmtId="2" fontId="23" fillId="0" borderId="101" xfId="0" applyNumberFormat="1" applyFont="1" applyFill="1" applyBorder="1" applyAlignment="1" applyProtection="1">
      <alignment/>
      <protection hidden="1"/>
    </xf>
    <xf numFmtId="2" fontId="23" fillId="0" borderId="102" xfId="0" applyNumberFormat="1" applyFont="1" applyFill="1" applyBorder="1" applyAlignment="1" applyProtection="1">
      <alignment/>
      <protection hidden="1"/>
    </xf>
    <xf numFmtId="2" fontId="6" fillId="0" borderId="100" xfId="0" applyNumberFormat="1" applyFont="1" applyFill="1" applyBorder="1" applyAlignment="1" applyProtection="1">
      <alignment/>
      <protection hidden="1"/>
    </xf>
    <xf numFmtId="1" fontId="7" fillId="0" borderId="103" xfId="0" applyNumberFormat="1" applyFont="1" applyFill="1" applyBorder="1" applyAlignment="1" applyProtection="1">
      <alignment/>
      <protection locked="0"/>
    </xf>
    <xf numFmtId="1" fontId="7" fillId="0" borderId="104" xfId="0" applyNumberFormat="1" applyFont="1" applyFill="1" applyBorder="1" applyAlignment="1" applyProtection="1">
      <alignment/>
      <protection locked="0"/>
    </xf>
    <xf numFmtId="0" fontId="141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27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49" fillId="0" borderId="14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/>
      <protection hidden="1"/>
    </xf>
    <xf numFmtId="2" fontId="3" fillId="0" borderId="15" xfId="0" applyNumberFormat="1" applyFont="1" applyFill="1" applyBorder="1" applyAlignment="1" applyProtection="1">
      <alignment horizontal="center"/>
      <protection hidden="1"/>
    </xf>
    <xf numFmtId="2" fontId="150" fillId="0" borderId="41" xfId="0" applyNumberFormat="1" applyFont="1" applyFill="1" applyBorder="1" applyAlignment="1" applyProtection="1" quotePrefix="1">
      <alignment horizontal="right"/>
      <protection hidden="1"/>
    </xf>
    <xf numFmtId="2" fontId="150" fillId="0" borderId="17" xfId="0" applyNumberFormat="1" applyFont="1" applyFill="1" applyBorder="1" applyAlignment="1" applyProtection="1">
      <alignment/>
      <protection hidden="1"/>
    </xf>
    <xf numFmtId="0" fontId="151" fillId="0" borderId="19" xfId="0" applyFont="1" applyFill="1" applyBorder="1" applyAlignment="1" applyProtection="1">
      <alignment horizontal="center"/>
      <protection hidden="1"/>
    </xf>
    <xf numFmtId="2" fontId="150" fillId="0" borderId="41" xfId="0" applyNumberFormat="1" applyFont="1" applyFill="1" applyBorder="1" applyAlignment="1" applyProtection="1" quotePrefix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14" xfId="0" applyNumberFormat="1" applyFont="1" applyFill="1" applyBorder="1" applyAlignment="1" applyProtection="1">
      <alignment/>
      <protection hidden="1"/>
    </xf>
    <xf numFmtId="0" fontId="36" fillId="0" borderId="12" xfId="0" applyFont="1" applyFill="1" applyBorder="1" applyAlignment="1" applyProtection="1">
      <alignment/>
      <protection locked="0"/>
    </xf>
    <xf numFmtId="1" fontId="48" fillId="0" borderId="0" xfId="0" applyNumberFormat="1" applyFont="1" applyFill="1" applyBorder="1" applyAlignment="1" applyProtection="1" quotePrefix="1">
      <alignment horizontal="center"/>
      <protection locked="0"/>
    </xf>
    <xf numFmtId="1" fontId="48" fillId="0" borderId="14" xfId="0" applyNumberFormat="1" applyFont="1" applyFill="1" applyBorder="1" applyAlignment="1" applyProtection="1" quotePrefix="1">
      <alignment horizontal="center"/>
      <protection locked="0"/>
    </xf>
    <xf numFmtId="2" fontId="4" fillId="0" borderId="14" xfId="0" applyNumberFormat="1" applyFont="1" applyFill="1" applyBorder="1" applyAlignment="1" applyProtection="1" quotePrefix="1">
      <alignment horizontal="center"/>
      <protection hidden="1"/>
    </xf>
    <xf numFmtId="2" fontId="4" fillId="0" borderId="12" xfId="0" applyNumberFormat="1" applyFont="1" applyFill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Fill="1" applyBorder="1" applyAlignment="1" applyProtection="1">
      <alignment/>
      <protection locked="0"/>
    </xf>
    <xf numFmtId="1" fontId="48" fillId="0" borderId="13" xfId="0" applyNumberFormat="1" applyFont="1" applyFill="1" applyBorder="1" applyAlignment="1" applyProtection="1" quotePrefix="1">
      <alignment horizontal="center"/>
      <protection locked="0"/>
    </xf>
    <xf numFmtId="1" fontId="48" fillId="0" borderId="15" xfId="0" applyNumberFormat="1" applyFont="1" applyFill="1" applyBorder="1" applyAlignment="1" applyProtection="1" quotePrefix="1">
      <alignment horizontal="center"/>
      <protection locked="0"/>
    </xf>
    <xf numFmtId="2" fontId="4" fillId="0" borderId="15" xfId="0" applyNumberFormat="1" applyFont="1" applyFill="1" applyBorder="1" applyAlignment="1" applyProtection="1" quotePrefix="1">
      <alignment horizontal="center"/>
      <protection hidden="1"/>
    </xf>
    <xf numFmtId="2" fontId="4" fillId="0" borderId="21" xfId="0" applyNumberFormat="1" applyFont="1" applyFill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41" fillId="0" borderId="0" xfId="0" applyNumberFormat="1" applyFont="1" applyAlignment="1" applyProtection="1">
      <alignment horizontal="right"/>
      <protection hidden="1"/>
    </xf>
    <xf numFmtId="0" fontId="150" fillId="0" borderId="0" xfId="0" applyFont="1" applyAlignment="1" applyProtection="1">
      <alignment horizontal="center"/>
      <protection hidden="1"/>
    </xf>
    <xf numFmtId="0" fontId="150" fillId="39" borderId="0" xfId="0" applyFont="1" applyFill="1" applyAlignment="1" applyProtection="1">
      <alignment horizontal="center"/>
      <protection hidden="1"/>
    </xf>
    <xf numFmtId="1" fontId="141" fillId="39" borderId="0" xfId="0" applyNumberFormat="1" applyFont="1" applyFill="1" applyAlignment="1" applyProtection="1">
      <alignment horizontal="right"/>
      <protection locked="0"/>
    </xf>
    <xf numFmtId="0" fontId="141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177" fontId="3" fillId="39" borderId="0" xfId="42" applyNumberFormat="1" applyFont="1" applyFill="1" applyAlignment="1" applyProtection="1">
      <alignment/>
      <protection hidden="1"/>
    </xf>
    <xf numFmtId="0" fontId="140" fillId="0" borderId="0" xfId="0" applyFont="1" applyAlignment="1">
      <alignment/>
    </xf>
    <xf numFmtId="0" fontId="140" fillId="0" borderId="0" xfId="0" applyFont="1" applyAlignment="1">
      <alignment horizontal="center"/>
    </xf>
    <xf numFmtId="0" fontId="140" fillId="0" borderId="16" xfId="0" applyFont="1" applyBorder="1" applyAlignment="1">
      <alignment/>
    </xf>
    <xf numFmtId="0" fontId="142" fillId="0" borderId="0" xfId="0" applyFont="1" applyFill="1" applyBorder="1" applyAlignment="1">
      <alignment/>
    </xf>
    <xf numFmtId="0" fontId="141" fillId="0" borderId="12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152" fillId="0" borderId="14" xfId="0" applyFont="1" applyFill="1" applyBorder="1" applyAlignment="1" applyProtection="1" quotePrefix="1">
      <alignment/>
      <protection locked="0"/>
    </xf>
    <xf numFmtId="0" fontId="4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" fontId="141" fillId="0" borderId="17" xfId="0" applyNumberFormat="1" applyFont="1" applyFill="1" applyBorder="1" applyAlignment="1" applyProtection="1">
      <alignment/>
      <protection locked="0"/>
    </xf>
    <xf numFmtId="2" fontId="23" fillId="0" borderId="17" xfId="0" applyNumberFormat="1" applyFont="1" applyFill="1" applyBorder="1" applyAlignment="1" applyProtection="1">
      <alignment horizontal="center"/>
      <protection hidden="1"/>
    </xf>
    <xf numFmtId="2" fontId="23" fillId="0" borderId="17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4" xfId="0" applyNumberFormat="1" applyFont="1" applyBorder="1" applyAlignment="1" applyProtection="1">
      <alignment/>
      <protection/>
    </xf>
    <xf numFmtId="171" fontId="3" fillId="0" borderId="14" xfId="42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Fill="1" applyBorder="1" applyAlignment="1" applyProtection="1">
      <alignment/>
      <protection hidden="1"/>
    </xf>
    <xf numFmtId="0" fontId="153" fillId="0" borderId="105" xfId="0" applyFont="1" applyFill="1" applyBorder="1" applyAlignment="1">
      <alignment horizontal="left"/>
    </xf>
    <xf numFmtId="0" fontId="2" fillId="0" borderId="105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21" xfId="0" applyFont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141" fillId="0" borderId="14" xfId="0" applyFont="1" applyFill="1" applyBorder="1" applyAlignment="1" applyProtection="1" quotePrefix="1">
      <alignment horizontal="right"/>
      <protection/>
    </xf>
    <xf numFmtId="2" fontId="23" fillId="0" borderId="12" xfId="0" applyNumberFormat="1" applyFont="1" applyFill="1" applyBorder="1" applyAlignment="1" applyProtection="1">
      <alignment horizontal="right"/>
      <protection/>
    </xf>
    <xf numFmtId="0" fontId="154" fillId="0" borderId="14" xfId="0" applyFont="1" applyFill="1" applyBorder="1" applyAlignment="1" applyProtection="1">
      <alignment/>
      <protection locked="0"/>
    </xf>
    <xf numFmtId="0" fontId="141" fillId="4" borderId="20" xfId="0" applyFont="1" applyFill="1" applyBorder="1" applyAlignment="1" applyProtection="1">
      <alignment horizontal="center"/>
      <protection/>
    </xf>
    <xf numFmtId="2" fontId="3" fillId="4" borderId="19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wrapText="1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wrapText="1"/>
      <protection hidden="1"/>
    </xf>
    <xf numFmtId="2" fontId="3" fillId="0" borderId="12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55" fillId="0" borderId="0" xfId="0" applyFont="1" applyAlignment="1">
      <alignment/>
    </xf>
    <xf numFmtId="0" fontId="156" fillId="0" borderId="0" xfId="0" applyFont="1" applyFill="1" applyBorder="1" applyAlignment="1">
      <alignment/>
    </xf>
    <xf numFmtId="0" fontId="148" fillId="0" borderId="14" xfId="0" applyFont="1" applyFill="1" applyBorder="1" applyAlignment="1" applyProtection="1">
      <alignment/>
      <protection locked="0"/>
    </xf>
    <xf numFmtId="0" fontId="156" fillId="0" borderId="22" xfId="0" applyFont="1" applyFill="1" applyBorder="1" applyAlignment="1">
      <alignment/>
    </xf>
    <xf numFmtId="0" fontId="148" fillId="0" borderId="15" xfId="0" applyFont="1" applyFill="1" applyBorder="1" applyAlignment="1" applyProtection="1">
      <alignment/>
      <protection locked="0"/>
    </xf>
    <xf numFmtId="2" fontId="23" fillId="0" borderId="13" xfId="0" applyNumberFormat="1" applyFont="1" applyFill="1" applyBorder="1" applyAlignment="1" applyProtection="1">
      <alignment/>
      <protection hidden="1"/>
    </xf>
    <xf numFmtId="0" fontId="141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41" fillId="36" borderId="15" xfId="0" applyFont="1" applyFill="1" applyBorder="1" applyAlignment="1" applyProtection="1">
      <alignment/>
      <protection locked="0"/>
    </xf>
    <xf numFmtId="2" fontId="150" fillId="0" borderId="13" xfId="0" applyNumberFormat="1" applyFont="1" applyFill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1" fontId="141" fillId="36" borderId="15" xfId="0" applyNumberFormat="1" applyFont="1" applyFill="1" applyBorder="1" applyAlignment="1" applyProtection="1">
      <alignment/>
      <protection locked="0"/>
    </xf>
    <xf numFmtId="1" fontId="141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2" fontId="6" fillId="0" borderId="17" xfId="0" applyNumberFormat="1" applyFont="1" applyFill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2" fontId="145" fillId="37" borderId="84" xfId="0" applyNumberFormat="1" applyFont="1" applyFill="1" applyBorder="1" applyAlignment="1" applyProtection="1">
      <alignment/>
      <protection hidden="1"/>
    </xf>
    <xf numFmtId="2" fontId="145" fillId="37" borderId="86" xfId="0" applyNumberFormat="1" applyFont="1" applyFill="1" applyBorder="1" applyAlignment="1" applyProtection="1">
      <alignment/>
      <protection hidden="1"/>
    </xf>
    <xf numFmtId="2" fontId="145" fillId="37" borderId="87" xfId="0" applyNumberFormat="1" applyFont="1" applyFill="1" applyBorder="1" applyAlignment="1" applyProtection="1">
      <alignment/>
      <protection hidden="1"/>
    </xf>
    <xf numFmtId="2" fontId="148" fillId="0" borderId="106" xfId="0" applyNumberFormat="1" applyFont="1" applyFill="1" applyBorder="1" applyAlignment="1" applyProtection="1">
      <alignment/>
      <protection hidden="1"/>
    </xf>
    <xf numFmtId="2" fontId="148" fillId="0" borderId="107" xfId="0" applyNumberFormat="1" applyFont="1" applyFill="1" applyBorder="1" applyAlignment="1" applyProtection="1">
      <alignment/>
      <protection hidden="1"/>
    </xf>
    <xf numFmtId="2" fontId="148" fillId="0" borderId="108" xfId="0" applyNumberFormat="1" applyFont="1" applyFill="1" applyBorder="1" applyAlignment="1" applyProtection="1">
      <alignment/>
      <protection hidden="1"/>
    </xf>
    <xf numFmtId="0" fontId="151" fillId="0" borderId="17" xfId="0" applyFont="1" applyFill="1" applyBorder="1" applyAlignment="1" applyProtection="1">
      <alignment horizontal="center"/>
      <protection hidden="1"/>
    </xf>
    <xf numFmtId="2" fontId="150" fillId="0" borderId="17" xfId="0" applyNumberFormat="1" applyFont="1" applyFill="1" applyBorder="1" applyAlignment="1" applyProtection="1" quotePrefix="1">
      <alignment horizontal="right"/>
      <protection hidden="1"/>
    </xf>
    <xf numFmtId="2" fontId="157" fillId="0" borderId="15" xfId="0" applyNumberFormat="1" applyFont="1" applyFill="1" applyBorder="1" applyAlignment="1" applyProtection="1">
      <alignment/>
      <protection hidden="1"/>
    </xf>
    <xf numFmtId="0" fontId="157" fillId="0" borderId="21" xfId="0" applyFont="1" applyFill="1" applyBorder="1" applyAlignment="1" applyProtection="1">
      <alignment/>
      <protection locked="0"/>
    </xf>
    <xf numFmtId="2" fontId="23" fillId="0" borderId="103" xfId="0" applyNumberFormat="1" applyFont="1" applyFill="1" applyBorder="1" applyAlignment="1" applyProtection="1">
      <alignment/>
      <protection hidden="1"/>
    </xf>
    <xf numFmtId="2" fontId="23" fillId="0" borderId="109" xfId="0" applyNumberFormat="1" applyFont="1" applyFill="1" applyBorder="1" applyAlignment="1" applyProtection="1">
      <alignment/>
      <protection hidden="1"/>
    </xf>
    <xf numFmtId="2" fontId="23" fillId="0" borderId="110" xfId="0" applyNumberFormat="1" applyFont="1" applyFill="1" applyBorder="1" applyAlignment="1" applyProtection="1">
      <alignment/>
      <protection hidden="1"/>
    </xf>
    <xf numFmtId="2" fontId="6" fillId="0" borderId="104" xfId="0" applyNumberFormat="1" applyFont="1" applyFill="1" applyBorder="1" applyAlignment="1" applyProtection="1">
      <alignment/>
      <protection hidden="1"/>
    </xf>
    <xf numFmtId="0" fontId="2" fillId="0" borderId="111" xfId="0" applyFont="1" applyFill="1" applyBorder="1" applyAlignment="1" applyProtection="1">
      <alignment/>
      <protection hidden="1"/>
    </xf>
    <xf numFmtId="1" fontId="141" fillId="0" borderId="35" xfId="0" applyNumberFormat="1" applyFont="1" applyFill="1" applyBorder="1" applyAlignment="1" applyProtection="1">
      <alignment/>
      <protection locked="0"/>
    </xf>
    <xf numFmtId="1" fontId="141" fillId="0" borderId="30" xfId="0" applyNumberFormat="1" applyFont="1" applyFill="1" applyBorder="1" applyAlignment="1" applyProtection="1">
      <alignment/>
      <protection locked="0"/>
    </xf>
    <xf numFmtId="2" fontId="23" fillId="0" borderId="54" xfId="0" applyNumberFormat="1" applyFont="1" applyFill="1" applyBorder="1" applyAlignment="1" applyProtection="1">
      <alignment/>
      <protection hidden="1"/>
    </xf>
    <xf numFmtId="2" fontId="6" fillId="0" borderId="39" xfId="0" applyNumberFormat="1" applyFont="1" applyFill="1" applyBorder="1" applyAlignment="1" applyProtection="1">
      <alignment/>
      <protection hidden="1"/>
    </xf>
    <xf numFmtId="2" fontId="23" fillId="0" borderId="112" xfId="0" applyNumberFormat="1" applyFont="1" applyFill="1" applyBorder="1" applyAlignment="1" applyProtection="1">
      <alignment/>
      <protection hidden="1"/>
    </xf>
    <xf numFmtId="1" fontId="23" fillId="0" borderId="113" xfId="0" applyNumberFormat="1" applyFont="1" applyFill="1" applyBorder="1" applyAlignment="1" applyProtection="1">
      <alignment/>
      <protection locked="0"/>
    </xf>
    <xf numFmtId="1" fontId="23" fillId="0" borderId="114" xfId="0" applyNumberFormat="1" applyFont="1" applyFill="1" applyBorder="1" applyAlignment="1" applyProtection="1">
      <alignment/>
      <protection locked="0"/>
    </xf>
    <xf numFmtId="171" fontId="141" fillId="0" borderId="17" xfId="42" applyNumberFormat="1" applyFont="1" applyFill="1" applyBorder="1" applyAlignment="1" applyProtection="1" quotePrefix="1">
      <alignment horizontal="right"/>
      <protection/>
    </xf>
    <xf numFmtId="2" fontId="141" fillId="0" borderId="17" xfId="0" applyNumberFormat="1" applyFont="1" applyFill="1" applyBorder="1" applyAlignment="1" applyProtection="1" quotePrefix="1">
      <alignment horizontal="left"/>
      <protection/>
    </xf>
    <xf numFmtId="2" fontId="3" fillId="0" borderId="17" xfId="0" applyNumberFormat="1" applyFont="1" applyFill="1" applyBorder="1" applyAlignment="1" applyProtection="1" quotePrefix="1">
      <alignment horizontal="right"/>
      <protection/>
    </xf>
    <xf numFmtId="43" fontId="139" fillId="0" borderId="13" xfId="0" applyNumberFormat="1" applyFont="1" applyFill="1" applyBorder="1" applyAlignment="1" applyProtection="1">
      <alignment horizontal="left"/>
      <protection/>
    </xf>
    <xf numFmtId="2" fontId="139" fillId="7" borderId="17" xfId="0" applyNumberFormat="1" applyFont="1" applyFill="1" applyBorder="1" applyAlignment="1" applyProtection="1" quotePrefix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/>
      <protection/>
    </xf>
    <xf numFmtId="2" fontId="158" fillId="2" borderId="17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2" fontId="159" fillId="40" borderId="19" xfId="0" applyNumberFormat="1" applyFont="1" applyFill="1" applyBorder="1" applyAlignment="1" applyProtection="1">
      <alignment/>
      <protection hidden="1"/>
    </xf>
    <xf numFmtId="0" fontId="139" fillId="0" borderId="10" xfId="0" applyFont="1" applyFill="1" applyBorder="1" applyAlignment="1">
      <alignment horizontal="center"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0" fontId="160" fillId="0" borderId="116" xfId="0" applyFont="1" applyBorder="1" applyAlignment="1">
      <alignment/>
    </xf>
    <xf numFmtId="43" fontId="161" fillId="0" borderId="116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6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39" fillId="0" borderId="14" xfId="0" applyFont="1" applyBorder="1" applyAlignment="1">
      <alignment/>
    </xf>
    <xf numFmtId="0" fontId="149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43" fillId="37" borderId="14" xfId="0" applyFont="1" applyFill="1" applyBorder="1" applyAlignment="1" applyProtection="1">
      <alignment/>
      <protection/>
    </xf>
    <xf numFmtId="0" fontId="141" fillId="0" borderId="14" xfId="0" applyFont="1" applyBorder="1" applyAlignment="1" applyProtection="1">
      <alignment/>
      <protection/>
    </xf>
    <xf numFmtId="0" fontId="143" fillId="37" borderId="21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45" fillId="37" borderId="14" xfId="0" applyFont="1" applyFill="1" applyBorder="1" applyAlignment="1" applyProtection="1">
      <alignment/>
      <protection/>
    </xf>
    <xf numFmtId="1" fontId="3" fillId="0" borderId="28" xfId="0" applyNumberFormat="1" applyFont="1" applyFill="1" applyBorder="1" applyAlignment="1" applyProtection="1" quotePrefix="1">
      <alignment/>
      <protection/>
    </xf>
    <xf numFmtId="0" fontId="8" fillId="0" borderId="14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 quotePrefix="1">
      <alignment horizontal="left"/>
      <protection/>
    </xf>
    <xf numFmtId="0" fontId="135" fillId="0" borderId="12" xfId="0" applyFont="1" applyFill="1" applyBorder="1" applyAlignment="1" applyProtection="1" quotePrefix="1">
      <alignment horizontal="center"/>
      <protection locked="0"/>
    </xf>
    <xf numFmtId="0" fontId="135" fillId="0" borderId="21" xfId="0" applyFont="1" applyFill="1" applyBorder="1" applyAlignment="1" applyProtection="1" quotePrefix="1">
      <alignment horizontal="center"/>
      <protection/>
    </xf>
    <xf numFmtId="0" fontId="14" fillId="0" borderId="13" xfId="0" applyFont="1" applyFill="1" applyBorder="1" applyAlignment="1" applyProtection="1" quotePrefix="1">
      <alignment horizontal="center"/>
      <protection/>
    </xf>
    <xf numFmtId="2" fontId="3" fillId="0" borderId="13" xfId="0" applyNumberFormat="1" applyFont="1" applyBorder="1" applyAlignment="1" applyProtection="1" quotePrefix="1">
      <alignment horizontal="right"/>
      <protection/>
    </xf>
    <xf numFmtId="0" fontId="3" fillId="0" borderId="21" xfId="0" applyFont="1" applyFill="1" applyBorder="1" applyAlignment="1" applyProtection="1" quotePrefix="1">
      <alignment horizontal="left"/>
      <protection locked="0"/>
    </xf>
    <xf numFmtId="0" fontId="162" fillId="0" borderId="0" xfId="0" applyFont="1" applyFill="1" applyAlignment="1">
      <alignment horizontal="center"/>
    </xf>
    <xf numFmtId="1" fontId="162" fillId="0" borderId="12" xfId="0" applyNumberFormat="1" applyFont="1" applyFill="1" applyBorder="1" applyAlignment="1" applyProtection="1">
      <alignment/>
      <protection hidden="1"/>
    </xf>
    <xf numFmtId="1" fontId="162" fillId="0" borderId="28" xfId="0" applyNumberFormat="1" applyFont="1" applyFill="1" applyBorder="1" applyAlignment="1" applyProtection="1" quotePrefix="1">
      <alignment horizontal="center"/>
      <protection hidden="1"/>
    </xf>
    <xf numFmtId="1" fontId="142" fillId="0" borderId="12" xfId="0" applyNumberFormat="1" applyFont="1" applyFill="1" applyBorder="1" applyAlignment="1" applyProtection="1">
      <alignment horizontal="right"/>
      <protection hidden="1"/>
    </xf>
    <xf numFmtId="1" fontId="142" fillId="0" borderId="12" xfId="0" applyNumberFormat="1" applyFont="1" applyFill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18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77" fontId="3" fillId="0" borderId="0" xfId="42" applyNumberFormat="1" applyFont="1" applyBorder="1" applyAlignment="1" applyProtection="1">
      <alignment/>
      <protection hidden="1"/>
    </xf>
    <xf numFmtId="177" fontId="3" fillId="0" borderId="21" xfId="42" applyNumberFormat="1" applyFont="1" applyBorder="1" applyAlignment="1" applyProtection="1">
      <alignment horizontal="center"/>
      <protection hidden="1"/>
    </xf>
    <xf numFmtId="0" fontId="162" fillId="0" borderId="17" xfId="0" applyFont="1" applyBorder="1" applyAlignment="1">
      <alignment/>
    </xf>
    <xf numFmtId="0" fontId="141" fillId="0" borderId="14" xfId="0" applyFont="1" applyBorder="1" applyAlignment="1" applyProtection="1">
      <alignment/>
      <protection hidden="1"/>
    </xf>
    <xf numFmtId="0" fontId="141" fillId="0" borderId="16" xfId="0" applyFont="1" applyBorder="1" applyAlignment="1">
      <alignment/>
    </xf>
    <xf numFmtId="0" fontId="141" fillId="0" borderId="0" xfId="0" applyFont="1" applyAlignment="1">
      <alignment/>
    </xf>
    <xf numFmtId="177" fontId="162" fillId="0" borderId="119" xfId="42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42" fillId="0" borderId="13" xfId="0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3" fillId="0" borderId="12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 horizontal="right"/>
      <protection/>
    </xf>
    <xf numFmtId="171" fontId="3" fillId="0" borderId="121" xfId="42" applyFont="1" applyFill="1" applyBorder="1" applyAlignment="1" applyProtection="1">
      <alignment horizontal="left"/>
      <protection hidden="1"/>
    </xf>
    <xf numFmtId="2" fontId="3" fillId="0" borderId="65" xfId="0" applyNumberFormat="1" applyFont="1" applyFill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63" fillId="32" borderId="122" xfId="0" applyNumberFormat="1" applyFont="1" applyFill="1" applyBorder="1" applyAlignment="1" applyProtection="1">
      <alignment/>
      <protection/>
    </xf>
    <xf numFmtId="2" fontId="3" fillId="0" borderId="63" xfId="0" applyNumberFormat="1" applyFont="1" applyFill="1" applyBorder="1" applyAlignment="1" applyProtection="1">
      <alignment horizontal="center"/>
      <protection hidden="1"/>
    </xf>
    <xf numFmtId="2" fontId="2" fillId="0" borderId="21" xfId="0" applyNumberFormat="1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2" fontId="3" fillId="0" borderId="12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64" fillId="0" borderId="17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17" fontId="141" fillId="0" borderId="0" xfId="0" applyNumberFormat="1" applyFont="1" applyBorder="1" applyAlignment="1" applyProtection="1" quotePrefix="1">
      <alignment/>
      <protection hidden="1" locked="0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65" fillId="0" borderId="0" xfId="0" applyFont="1" applyFill="1" applyBorder="1" applyAlignment="1">
      <alignment horizontal="center"/>
    </xf>
    <xf numFmtId="0" fontId="165" fillId="0" borderId="0" xfId="0" applyFont="1" applyFill="1" applyBorder="1" applyAlignment="1" quotePrefix="1">
      <alignment horizontal="center"/>
    </xf>
    <xf numFmtId="0" fontId="59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3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17" xfId="0" applyFont="1" applyBorder="1" applyAlignment="1" applyProtection="1">
      <alignment horizontal="center"/>
      <protection hidden="1"/>
    </xf>
    <xf numFmtId="0" fontId="166" fillId="0" borderId="0" xfId="0" applyFont="1" applyFill="1" applyBorder="1" applyAlignment="1">
      <alignment horizontal="left"/>
    </xf>
    <xf numFmtId="0" fontId="59" fillId="0" borderId="2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12" xfId="0" applyFont="1" applyBorder="1" applyAlignment="1">
      <alignment/>
    </xf>
    <xf numFmtId="0" fontId="59" fillId="0" borderId="21" xfId="0" applyFont="1" applyBorder="1" applyAlignment="1">
      <alignment/>
    </xf>
    <xf numFmtId="9" fontId="59" fillId="0" borderId="15" xfId="0" applyNumberFormat="1" applyFont="1" applyBorder="1" applyAlignment="1">
      <alignment horizontal="center"/>
    </xf>
    <xf numFmtId="0" fontId="167" fillId="0" borderId="13" xfId="0" applyFont="1" applyBorder="1" applyAlignment="1" applyProtection="1" quotePrefix="1">
      <alignment horizontal="center"/>
      <protection hidden="1"/>
    </xf>
    <xf numFmtId="0" fontId="168" fillId="0" borderId="21" xfId="0" applyFont="1" applyBorder="1" applyAlignment="1" applyProtection="1">
      <alignment horizontal="center"/>
      <protection hidden="1"/>
    </xf>
    <xf numFmtId="9" fontId="168" fillId="0" borderId="19" xfId="0" applyNumberFormat="1" applyFont="1" applyBorder="1" applyAlignment="1" applyProtection="1">
      <alignment horizontal="center"/>
      <protection hidden="1"/>
    </xf>
    <xf numFmtId="1" fontId="168" fillId="0" borderId="14" xfId="0" applyNumberFormat="1" applyFont="1" applyBorder="1" applyAlignment="1" applyProtection="1">
      <alignment horizontal="center"/>
      <protection hidden="1"/>
    </xf>
    <xf numFmtId="0" fontId="169" fillId="0" borderId="17" xfId="0" applyFont="1" applyBorder="1" applyAlignment="1" applyProtection="1">
      <alignment horizontal="center"/>
      <protection hidden="1"/>
    </xf>
    <xf numFmtId="0" fontId="170" fillId="0" borderId="15" xfId="0" applyFont="1" applyBorder="1" applyAlignment="1" applyProtection="1">
      <alignment horizontal="center"/>
      <protection hidden="1"/>
    </xf>
    <xf numFmtId="0" fontId="170" fillId="0" borderId="15" xfId="0" applyFont="1" applyBorder="1" applyAlignment="1" applyProtection="1" quotePrefix="1">
      <alignment horizontal="center"/>
      <protection hidden="1"/>
    </xf>
    <xf numFmtId="1" fontId="170" fillId="0" borderId="14" xfId="0" applyNumberFormat="1" applyFont="1" applyBorder="1" applyAlignment="1" applyProtection="1">
      <alignment horizontal="center"/>
      <protection hidden="1"/>
    </xf>
    <xf numFmtId="0" fontId="171" fillId="0" borderId="19" xfId="0" applyFont="1" applyBorder="1" applyAlignment="1" applyProtection="1">
      <alignment horizontal="center"/>
      <protection hidden="1"/>
    </xf>
    <xf numFmtId="2" fontId="172" fillId="0" borderId="11" xfId="0" applyNumberFormat="1" applyFont="1" applyBorder="1" applyAlignment="1" applyProtection="1">
      <alignment horizontal="center"/>
      <protection hidden="1"/>
    </xf>
    <xf numFmtId="2" fontId="172" fillId="0" borderId="12" xfId="0" applyNumberFormat="1" applyFont="1" applyBorder="1" applyAlignment="1" applyProtection="1">
      <alignment horizontal="center"/>
      <protection hidden="1"/>
    </xf>
    <xf numFmtId="2" fontId="172" fillId="0" borderId="21" xfId="0" applyNumberFormat="1" applyFont="1" applyBorder="1" applyAlignment="1" applyProtection="1">
      <alignment horizontal="center"/>
      <protection hidden="1"/>
    </xf>
    <xf numFmtId="2" fontId="172" fillId="0" borderId="15" xfId="0" applyNumberFormat="1" applyFont="1" applyBorder="1" applyAlignment="1" applyProtection="1">
      <alignment horizontal="center"/>
      <protection hidden="1"/>
    </xf>
    <xf numFmtId="2" fontId="173" fillId="0" borderId="0" xfId="0" applyNumberFormat="1" applyFont="1" applyBorder="1" applyAlignment="1" applyProtection="1">
      <alignment horizontal="center"/>
      <protection hidden="1"/>
    </xf>
    <xf numFmtId="2" fontId="173" fillId="0" borderId="20" xfId="0" applyNumberFormat="1" applyFont="1" applyBorder="1" applyAlignment="1" applyProtection="1">
      <alignment horizontal="center"/>
      <protection hidden="1"/>
    </xf>
    <xf numFmtId="0" fontId="60" fillId="0" borderId="0" xfId="0" applyFont="1" applyAlignment="1">
      <alignment horizontal="center"/>
    </xf>
    <xf numFmtId="0" fontId="3" fillId="0" borderId="14" xfId="0" applyFont="1" applyFill="1" applyBorder="1" applyAlignment="1" applyProtection="1" quotePrefix="1">
      <alignment horizontal="left"/>
      <protection locked="0"/>
    </xf>
    <xf numFmtId="0" fontId="139" fillId="0" borderId="15" xfId="0" applyFont="1" applyFill="1" applyBorder="1" applyAlignment="1" applyProtection="1">
      <alignment horizontal="right"/>
      <protection locked="0"/>
    </xf>
    <xf numFmtId="177" fontId="174" fillId="0" borderId="123" xfId="0" applyNumberFormat="1" applyFont="1" applyFill="1" applyBorder="1" applyAlignment="1" applyProtection="1">
      <alignment horizontal="center"/>
      <protection/>
    </xf>
    <xf numFmtId="2" fontId="162" fillId="0" borderId="124" xfId="0" applyNumberFormat="1" applyFont="1" applyBorder="1" applyAlignment="1" applyProtection="1">
      <alignment/>
      <protection locked="0"/>
    </xf>
    <xf numFmtId="2" fontId="144" fillId="0" borderId="125" xfId="0" applyNumberFormat="1" applyFont="1" applyBorder="1" applyAlignment="1" applyProtection="1">
      <alignment/>
      <protection/>
    </xf>
    <xf numFmtId="2" fontId="3" fillId="0" borderId="126" xfId="0" applyNumberFormat="1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54" fillId="0" borderId="0" xfId="0" applyFont="1" applyFill="1" applyBorder="1" applyAlignment="1" applyProtection="1">
      <alignment/>
      <protection locked="0"/>
    </xf>
    <xf numFmtId="0" fontId="149" fillId="0" borderId="0" xfId="0" applyFont="1" applyFill="1" applyBorder="1" applyAlignment="1" applyProtection="1">
      <alignment/>
      <protection locked="0"/>
    </xf>
    <xf numFmtId="0" fontId="27" fillId="0" borderId="14" xfId="0" applyFont="1" applyFill="1" applyBorder="1" applyAlignment="1">
      <alignment/>
    </xf>
    <xf numFmtId="0" fontId="141" fillId="0" borderId="12" xfId="0" applyFont="1" applyFill="1" applyBorder="1" applyAlignment="1" applyProtection="1" quotePrefix="1">
      <alignment horizontal="right"/>
      <protection locked="0"/>
    </xf>
    <xf numFmtId="177" fontId="153" fillId="0" borderId="127" xfId="42" applyNumberFormat="1" applyFont="1" applyBorder="1" applyAlignment="1" applyProtection="1">
      <alignment/>
      <protection/>
    </xf>
    <xf numFmtId="2" fontId="132" fillId="0" borderId="127" xfId="0" applyNumberFormat="1" applyFont="1" applyFill="1" applyBorder="1" applyAlignment="1" applyProtection="1">
      <alignment horizontal="right"/>
      <protection hidden="1"/>
    </xf>
    <xf numFmtId="0" fontId="3" fillId="0" borderId="71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 locked="0"/>
    </xf>
    <xf numFmtId="2" fontId="142" fillId="0" borderId="127" xfId="0" applyNumberFormat="1" applyFont="1" applyFill="1" applyBorder="1" applyAlignment="1" applyProtection="1">
      <alignment horizontal="right"/>
      <protection/>
    </xf>
    <xf numFmtId="0" fontId="160" fillId="0" borderId="17" xfId="0" applyFont="1" applyFill="1" applyBorder="1" applyAlignment="1" applyProtection="1">
      <alignment horizontal="right"/>
      <protection locked="0"/>
    </xf>
    <xf numFmtId="0" fontId="175" fillId="0" borderId="15" xfId="0" applyFont="1" applyFill="1" applyBorder="1" applyAlignment="1">
      <alignment horizontal="right"/>
    </xf>
    <xf numFmtId="0" fontId="17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77" fillId="0" borderId="0" xfId="0" applyFont="1" applyAlignment="1">
      <alignment horizontal="center"/>
    </xf>
    <xf numFmtId="0" fontId="178" fillId="0" borderId="0" xfId="0" applyFont="1" applyAlignment="1">
      <alignment horizontal="center"/>
    </xf>
    <xf numFmtId="0" fontId="3" fillId="0" borderId="14" xfId="0" applyFont="1" applyFill="1" applyBorder="1" applyAlignment="1">
      <alignment/>
    </xf>
    <xf numFmtId="0" fontId="27" fillId="0" borderId="14" xfId="0" applyFont="1" applyFill="1" applyBorder="1" applyAlignment="1" applyProtection="1">
      <alignment wrapText="1"/>
      <protection locked="0"/>
    </xf>
    <xf numFmtId="0" fontId="179" fillId="0" borderId="15" xfId="0" applyFont="1" applyBorder="1" applyAlignment="1">
      <alignment/>
    </xf>
    <xf numFmtId="0" fontId="3" fillId="0" borderId="128" xfId="0" applyFont="1" applyFill="1" applyBorder="1" applyAlignment="1">
      <alignment/>
    </xf>
    <xf numFmtId="0" fontId="27" fillId="0" borderId="16" xfId="0" applyFont="1" applyFill="1" applyBorder="1" applyAlignment="1" applyProtection="1">
      <alignment wrapText="1"/>
      <protection locked="0"/>
    </xf>
    <xf numFmtId="0" fontId="179" fillId="0" borderId="16" xfId="0" applyFont="1" applyBorder="1" applyAlignment="1">
      <alignment/>
    </xf>
    <xf numFmtId="2" fontId="3" fillId="0" borderId="129" xfId="0" applyNumberFormat="1" applyFont="1" applyFill="1" applyBorder="1" applyAlignment="1" applyProtection="1">
      <alignment horizontal="right"/>
      <protection hidden="1"/>
    </xf>
    <xf numFmtId="2" fontId="3" fillId="0" borderId="130" xfId="0" applyNumberFormat="1" applyFont="1" applyFill="1" applyBorder="1" applyAlignment="1" applyProtection="1" quotePrefix="1">
      <alignment horizontal="right"/>
      <protection hidden="1"/>
    </xf>
    <xf numFmtId="0" fontId="3" fillId="0" borderId="16" xfId="0" applyFont="1" applyFill="1" applyBorder="1" applyAlignment="1" applyProtection="1">
      <alignment/>
      <protection/>
    </xf>
    <xf numFmtId="0" fontId="175" fillId="0" borderId="20" xfId="0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 applyProtection="1">
      <alignment horizontal="center"/>
      <protection/>
    </xf>
    <xf numFmtId="17" fontId="26" fillId="0" borderId="13" xfId="0" applyNumberFormat="1" applyFont="1" applyFill="1" applyBorder="1" applyAlignment="1" applyProtection="1">
      <alignment horizontal="left"/>
      <protection/>
    </xf>
    <xf numFmtId="2" fontId="5" fillId="0" borderId="13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180" fillId="0" borderId="131" xfId="0" applyFont="1" applyFill="1" applyBorder="1" applyAlignment="1" applyProtection="1">
      <alignment horizontal="left"/>
      <protection hidden="1"/>
    </xf>
    <xf numFmtId="0" fontId="180" fillId="0" borderId="132" xfId="0" applyFont="1" applyFill="1" applyBorder="1" applyAlignment="1" applyProtection="1">
      <alignment horizontal="left"/>
      <protection hidden="1"/>
    </xf>
    <xf numFmtId="0" fontId="3" fillId="0" borderId="132" xfId="0" applyFont="1" applyFill="1" applyBorder="1" applyAlignment="1" applyProtection="1">
      <alignment horizontal="center"/>
      <protection hidden="1"/>
    </xf>
    <xf numFmtId="0" fontId="2" fillId="0" borderId="133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133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133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134" xfId="0" applyFont="1" applyFill="1" applyBorder="1" applyAlignment="1" applyProtection="1">
      <alignment horizontal="left"/>
      <protection hidden="1"/>
    </xf>
    <xf numFmtId="0" fontId="2" fillId="0" borderId="135" xfId="0" applyFont="1" applyFill="1" applyBorder="1" applyAlignment="1" applyProtection="1">
      <alignment horizontal="left"/>
      <protection hidden="1"/>
    </xf>
    <xf numFmtId="0" fontId="3" fillId="0" borderId="135" xfId="0" applyFont="1" applyFill="1" applyBorder="1" applyAlignment="1" applyProtection="1">
      <alignment horizontal="center"/>
      <protection hidden="1"/>
    </xf>
    <xf numFmtId="17" fontId="7" fillId="0" borderId="0" xfId="0" applyNumberFormat="1" applyFont="1" applyAlignment="1" applyProtection="1" quotePrefix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2" fontId="23" fillId="0" borderId="13" xfId="0" applyNumberFormat="1" applyFont="1" applyFill="1" applyBorder="1" applyAlignment="1" applyProtection="1">
      <alignment horizontal="center"/>
      <protection hidden="1"/>
    </xf>
    <xf numFmtId="2" fontId="6" fillId="0" borderId="13" xfId="0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" fontId="141" fillId="0" borderId="10" xfId="0" applyNumberFormat="1" applyFont="1" applyFill="1" applyBorder="1" applyAlignment="1" applyProtection="1">
      <alignment/>
      <protection locked="0"/>
    </xf>
    <xf numFmtId="2" fontId="23" fillId="0" borderId="10" xfId="0" applyNumberFormat="1" applyFont="1" applyFill="1" applyBorder="1" applyAlignment="1" applyProtection="1">
      <alignment horizontal="center"/>
      <protection hidden="1"/>
    </xf>
    <xf numFmtId="2" fontId="23" fillId="0" borderId="10" xfId="0" applyNumberFormat="1" applyFont="1" applyFill="1" applyBorder="1" applyAlignment="1" applyProtection="1">
      <alignment/>
      <protection hidden="1"/>
    </xf>
    <xf numFmtId="2" fontId="6" fillId="0" borderId="10" xfId="0" applyNumberFormat="1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" fontId="141" fillId="0" borderId="0" xfId="0" applyNumberFormat="1" applyFont="1" applyFill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0" fontId="181" fillId="0" borderId="116" xfId="0" applyFont="1" applyBorder="1" applyAlignment="1">
      <alignment/>
    </xf>
    <xf numFmtId="0" fontId="148" fillId="0" borderId="116" xfId="0" applyFont="1" applyBorder="1" applyAlignment="1">
      <alignment/>
    </xf>
    <xf numFmtId="43" fontId="148" fillId="0" borderId="11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17" fontId="141" fillId="0" borderId="13" xfId="0" applyNumberFormat="1" applyFont="1" applyBorder="1" applyAlignment="1" applyProtection="1" quotePrefix="1">
      <alignment/>
      <protection/>
    </xf>
    <xf numFmtId="0" fontId="3" fillId="0" borderId="13" xfId="0" applyFont="1" applyFill="1" applyBorder="1" applyAlignment="1" applyProtection="1" quotePrefix="1">
      <alignment horizontal="center"/>
      <protection/>
    </xf>
    <xf numFmtId="2" fontId="132" fillId="0" borderId="136" xfId="0" applyNumberFormat="1" applyFont="1" applyFill="1" applyBorder="1" applyAlignment="1" applyProtection="1">
      <alignment horizontal="right"/>
      <protection hidden="1"/>
    </xf>
    <xf numFmtId="2" fontId="174" fillId="0" borderId="17" xfId="0" applyNumberFormat="1" applyFont="1" applyFill="1" applyBorder="1" applyAlignment="1" applyProtection="1">
      <alignment horizontal="center"/>
      <protection/>
    </xf>
    <xf numFmtId="2" fontId="182" fillId="0" borderId="17" xfId="0" applyNumberFormat="1" applyFont="1" applyFill="1" applyBorder="1" applyAlignment="1" applyProtection="1">
      <alignment horizontal="center"/>
      <protection/>
    </xf>
    <xf numFmtId="2" fontId="142" fillId="0" borderId="137" xfId="0" applyNumberFormat="1" applyFont="1" applyFill="1" applyBorder="1" applyAlignment="1" applyProtection="1">
      <alignment horizontal="right"/>
      <protection locked="0"/>
    </xf>
    <xf numFmtId="0" fontId="153" fillId="0" borderId="20" xfId="0" applyFont="1" applyFill="1" applyBorder="1" applyAlignment="1">
      <alignment horizontal="right"/>
    </xf>
    <xf numFmtId="0" fontId="27" fillId="0" borderId="22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/>
    </xf>
    <xf numFmtId="2" fontId="3" fillId="0" borderId="26" xfId="0" applyNumberFormat="1" applyFont="1" applyFill="1" applyBorder="1" applyAlignment="1" applyProtection="1" quotePrefix="1">
      <alignment horizontal="center"/>
      <protection hidden="1"/>
    </xf>
    <xf numFmtId="0" fontId="2" fillId="0" borderId="26" xfId="0" applyFont="1" applyFill="1" applyBorder="1" applyAlignment="1">
      <alignment horizontal="center"/>
    </xf>
    <xf numFmtId="171" fontId="0" fillId="39" borderId="138" xfId="42" applyNumberFormat="1" applyFont="1" applyFill="1" applyBorder="1" applyAlignment="1" applyProtection="1">
      <alignment horizontal="center"/>
      <protection/>
    </xf>
    <xf numFmtId="171" fontId="0" fillId="39" borderId="139" xfId="42" applyNumberFormat="1" applyFont="1" applyFill="1" applyBorder="1" applyAlignment="1" applyProtection="1">
      <alignment horizontal="center"/>
      <protection/>
    </xf>
    <xf numFmtId="171" fontId="0" fillId="39" borderId="140" xfId="42" applyNumberFormat="1" applyFont="1" applyFill="1" applyBorder="1" applyAlignment="1" applyProtection="1">
      <alignment horizontal="center"/>
      <protection/>
    </xf>
    <xf numFmtId="4" fontId="0" fillId="3" borderId="138" xfId="42" applyNumberFormat="1" applyFont="1" applyFill="1" applyBorder="1" applyAlignment="1" applyProtection="1">
      <alignment horizontal="center"/>
      <protection/>
    </xf>
    <xf numFmtId="4" fontId="0" fillId="3" borderId="139" xfId="42" applyNumberFormat="1" applyFont="1" applyFill="1" applyBorder="1" applyAlignment="1" applyProtection="1">
      <alignment horizontal="center"/>
      <protection/>
    </xf>
    <xf numFmtId="4" fontId="0" fillId="3" borderId="140" xfId="42" applyNumberFormat="1" applyFont="1" applyFill="1" applyBorder="1" applyAlignment="1" applyProtection="1">
      <alignment horizontal="center"/>
      <protection/>
    </xf>
    <xf numFmtId="4" fontId="0" fillId="6" borderId="138" xfId="42" applyNumberFormat="1" applyFont="1" applyFill="1" applyBorder="1" applyAlignment="1" applyProtection="1">
      <alignment horizontal="center"/>
      <protection/>
    </xf>
    <xf numFmtId="4" fontId="0" fillId="6" borderId="140" xfId="42" applyNumberFormat="1" applyFont="1" applyFill="1" applyBorder="1" applyAlignment="1" applyProtection="1">
      <alignment horizontal="center"/>
      <protection/>
    </xf>
    <xf numFmtId="4" fontId="0" fillId="6" borderId="141" xfId="42" applyNumberFormat="1" applyFont="1" applyFill="1" applyBorder="1" applyAlignment="1" applyProtection="1">
      <alignment horizontal="center"/>
      <protection/>
    </xf>
    <xf numFmtId="171" fontId="0" fillId="5" borderId="142" xfId="42" applyFont="1" applyFill="1" applyBorder="1" applyAlignment="1" applyProtection="1">
      <alignment horizontal="center"/>
      <protection/>
    </xf>
    <xf numFmtId="0" fontId="183" fillId="0" borderId="143" xfId="0" applyFont="1" applyBorder="1" applyAlignment="1" applyProtection="1">
      <alignment/>
      <protection hidden="1"/>
    </xf>
    <xf numFmtId="171" fontId="0" fillId="39" borderId="46" xfId="42" applyNumberFormat="1" applyFont="1" applyFill="1" applyBorder="1" applyAlignment="1" applyProtection="1">
      <alignment horizontal="center"/>
      <protection/>
    </xf>
    <xf numFmtId="171" fontId="0" fillId="39" borderId="47" xfId="42" applyNumberFormat="1" applyFont="1" applyFill="1" applyBorder="1" applyAlignment="1" applyProtection="1">
      <alignment horizontal="center"/>
      <protection/>
    </xf>
    <xf numFmtId="171" fontId="0" fillId="39" borderId="143" xfId="42" applyNumberFormat="1" applyFont="1" applyFill="1" applyBorder="1" applyAlignment="1" applyProtection="1">
      <alignment horizontal="center"/>
      <protection/>
    </xf>
    <xf numFmtId="4" fontId="0" fillId="7" borderId="144" xfId="42" applyNumberFormat="1" applyFont="1" applyFill="1" applyBorder="1" applyAlignment="1" applyProtection="1">
      <alignment horizontal="center"/>
      <protection/>
    </xf>
    <xf numFmtId="4" fontId="0" fillId="7" borderId="47" xfId="42" applyNumberFormat="1" applyFont="1" applyFill="1" applyBorder="1" applyAlignment="1" applyProtection="1">
      <alignment horizontal="center"/>
      <protection/>
    </xf>
    <xf numFmtId="4" fontId="0" fillId="7" borderId="143" xfId="42" applyNumberFormat="1" applyFont="1" applyFill="1" applyBorder="1" applyAlignment="1" applyProtection="1">
      <alignment horizontal="center"/>
      <protection/>
    </xf>
    <xf numFmtId="4" fontId="0" fillId="2" borderId="144" xfId="42" applyNumberFormat="1" applyFont="1" applyFill="1" applyBorder="1" applyAlignment="1" applyProtection="1">
      <alignment horizontal="center"/>
      <protection/>
    </xf>
    <xf numFmtId="4" fontId="0" fillId="2" borderId="21" xfId="42" applyNumberFormat="1" applyFont="1" applyFill="1" applyBorder="1" applyAlignment="1" applyProtection="1">
      <alignment horizontal="center"/>
      <protection/>
    </xf>
    <xf numFmtId="4" fontId="0" fillId="2" borderId="143" xfId="42" applyNumberFormat="1" applyFont="1" applyFill="1" applyBorder="1" applyAlignment="1" applyProtection="1">
      <alignment horizontal="center"/>
      <protection/>
    </xf>
    <xf numFmtId="171" fontId="0" fillId="5" borderId="145" xfId="42" applyFont="1" applyFill="1" applyBorder="1" applyAlignment="1" applyProtection="1">
      <alignment horizontal="center"/>
      <protection/>
    </xf>
    <xf numFmtId="0" fontId="0" fillId="0" borderId="146" xfId="0" applyBorder="1" applyAlignment="1" applyProtection="1">
      <alignment/>
      <protection hidden="1"/>
    </xf>
    <xf numFmtId="0" fontId="0" fillId="0" borderId="147" xfId="0" applyBorder="1" applyAlignment="1" applyProtection="1">
      <alignment/>
      <protection hidden="1"/>
    </xf>
    <xf numFmtId="0" fontId="5" fillId="0" borderId="147" xfId="0" applyFont="1" applyBorder="1" applyAlignment="1" applyProtection="1">
      <alignment horizontal="center"/>
      <protection hidden="1"/>
    </xf>
    <xf numFmtId="171" fontId="5" fillId="5" borderId="46" xfId="42" applyNumberFormat="1" applyFont="1" applyFill="1" applyBorder="1" applyAlignment="1" applyProtection="1">
      <alignment horizontal="center"/>
      <protection/>
    </xf>
    <xf numFmtId="171" fontId="5" fillId="5" borderId="47" xfId="42" applyNumberFormat="1" applyFont="1" applyFill="1" applyBorder="1" applyAlignment="1" applyProtection="1">
      <alignment horizontal="center"/>
      <protection/>
    </xf>
    <xf numFmtId="171" fontId="5" fillId="5" borderId="148" xfId="42" applyNumberFormat="1" applyFont="1" applyFill="1" applyBorder="1" applyAlignment="1" applyProtection="1">
      <alignment horizontal="center"/>
      <protection/>
    </xf>
    <xf numFmtId="2" fontId="5" fillId="5" borderId="46" xfId="42" applyNumberFormat="1" applyFont="1" applyFill="1" applyBorder="1" applyAlignment="1" applyProtection="1">
      <alignment horizontal="center"/>
      <protection/>
    </xf>
    <xf numFmtId="2" fontId="5" fillId="5" borderId="47" xfId="42" applyNumberFormat="1" applyFont="1" applyFill="1" applyBorder="1" applyAlignment="1" applyProtection="1">
      <alignment horizontal="center"/>
      <protection/>
    </xf>
    <xf numFmtId="2" fontId="5" fillId="5" borderId="148" xfId="42" applyNumberFormat="1" applyFont="1" applyFill="1" applyBorder="1" applyAlignment="1" applyProtection="1">
      <alignment horizontal="center"/>
      <protection/>
    </xf>
    <xf numFmtId="2" fontId="5" fillId="5" borderId="143" xfId="42" applyNumberFormat="1" applyFont="1" applyFill="1" applyBorder="1" applyAlignment="1" applyProtection="1">
      <alignment horizontal="center"/>
      <protection/>
    </xf>
    <xf numFmtId="0" fontId="184" fillId="7" borderId="149" xfId="0" applyFont="1" applyFill="1" applyBorder="1" applyAlignment="1" applyProtection="1">
      <alignment/>
      <protection hidden="1"/>
    </xf>
    <xf numFmtId="0" fontId="184" fillId="7" borderId="13" xfId="0" applyFont="1" applyFill="1" applyBorder="1" applyAlignment="1" applyProtection="1">
      <alignment/>
      <protection hidden="1"/>
    </xf>
    <xf numFmtId="0" fontId="112" fillId="2" borderId="144" xfId="0" applyFont="1" applyFill="1" applyBorder="1" applyAlignment="1" applyProtection="1">
      <alignment/>
      <protection hidden="1"/>
    </xf>
    <xf numFmtId="0" fontId="112" fillId="2" borderId="13" xfId="0" applyFont="1" applyFill="1" applyBorder="1" applyAlignment="1" applyProtection="1">
      <alignment/>
      <protection hidden="1"/>
    </xf>
    <xf numFmtId="0" fontId="184" fillId="11" borderId="150" xfId="0" applyFont="1" applyFill="1" applyBorder="1" applyAlignment="1" applyProtection="1">
      <alignment horizontal="center"/>
      <protection hidden="1"/>
    </xf>
    <xf numFmtId="0" fontId="185" fillId="0" borderId="138" xfId="0" applyFont="1" applyBorder="1" applyAlignment="1" applyProtection="1">
      <alignment horizontal="center"/>
      <protection hidden="1"/>
    </xf>
    <xf numFmtId="0" fontId="185" fillId="0" borderId="140" xfId="0" applyFont="1" applyBorder="1" applyAlignment="1" applyProtection="1">
      <alignment horizontal="center"/>
      <protection hidden="1"/>
    </xf>
    <xf numFmtId="0" fontId="185" fillId="0" borderId="141" xfId="0" applyFont="1" applyBorder="1" applyAlignment="1" applyProtection="1">
      <alignment horizontal="center"/>
      <protection hidden="1"/>
    </xf>
    <xf numFmtId="0" fontId="5" fillId="0" borderId="145" xfId="0" applyFont="1" applyFill="1" applyBorder="1" applyAlignment="1" applyProtection="1">
      <alignment horizontal="center"/>
      <protection hidden="1"/>
    </xf>
    <xf numFmtId="0" fontId="2" fillId="0" borderId="149" xfId="0" applyFont="1" applyBorder="1" applyAlignment="1" applyProtection="1">
      <alignment/>
      <protection hidden="1"/>
    </xf>
    <xf numFmtId="0" fontId="2" fillId="0" borderId="151" xfId="0" applyFont="1" applyBorder="1" applyAlignment="1" applyProtection="1">
      <alignment horizontal="left"/>
      <protection hidden="1"/>
    </xf>
    <xf numFmtId="171" fontId="5" fillId="5" borderId="152" xfId="42" applyNumberFormat="1" applyFont="1" applyFill="1" applyBorder="1" applyAlignment="1" applyProtection="1">
      <alignment horizontal="center"/>
      <protection/>
    </xf>
    <xf numFmtId="0" fontId="59" fillId="0" borderId="1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86" fillId="7" borderId="12" xfId="0" applyFont="1" applyFill="1" applyBorder="1" applyAlignment="1" applyProtection="1">
      <alignment horizontal="center"/>
      <protection locked="0"/>
    </xf>
    <xf numFmtId="0" fontId="186" fillId="7" borderId="21" xfId="0" applyFont="1" applyFill="1" applyBorder="1" applyAlignment="1" applyProtection="1">
      <alignment horizontal="center"/>
      <protection locked="0"/>
    </xf>
    <xf numFmtId="0" fontId="187" fillId="0" borderId="0" xfId="0" applyFont="1" applyBorder="1" applyAlignment="1">
      <alignment horizontal="left"/>
    </xf>
    <xf numFmtId="0" fontId="0" fillId="36" borderId="153" xfId="0" applyFill="1" applyBorder="1" applyAlignment="1">
      <alignment horizontal="center"/>
    </xf>
    <xf numFmtId="178" fontId="0" fillId="36" borderId="153" xfId="42" applyNumberFormat="1" applyFont="1" applyFill="1" applyBorder="1" applyAlignment="1" applyProtection="1">
      <alignment horizontal="center"/>
      <protection/>
    </xf>
    <xf numFmtId="178" fontId="0" fillId="36" borderId="154" xfId="42" applyNumberFormat="1" applyFont="1" applyFill="1" applyBorder="1" applyAlignment="1" applyProtection="1">
      <alignment horizontal="center"/>
      <protection/>
    </xf>
    <xf numFmtId="178" fontId="0" fillId="36" borderId="155" xfId="42" applyNumberFormat="1" applyFont="1" applyFill="1" applyBorder="1" applyAlignment="1" applyProtection="1">
      <alignment horizontal="center"/>
      <protection/>
    </xf>
    <xf numFmtId="171" fontId="0" fillId="36" borderId="154" xfId="42" applyFont="1" applyFill="1" applyBorder="1" applyAlignment="1">
      <alignment horizontal="center"/>
    </xf>
    <xf numFmtId="4" fontId="5" fillId="5" borderId="46" xfId="42" applyNumberFormat="1" applyFont="1" applyFill="1" applyBorder="1" applyAlignment="1" applyProtection="1">
      <alignment horizontal="center"/>
      <protection/>
    </xf>
    <xf numFmtId="0" fontId="34" fillId="0" borderId="14" xfId="0" applyFont="1" applyBorder="1" applyAlignment="1" applyProtection="1">
      <alignment horizontal="center"/>
      <protection/>
    </xf>
    <xf numFmtId="0" fontId="140" fillId="0" borderId="0" xfId="0" applyFont="1" applyBorder="1" applyAlignment="1" applyProtection="1">
      <alignment/>
      <protection locked="0"/>
    </xf>
    <xf numFmtId="0" fontId="142" fillId="0" borderId="0" xfId="0" applyFont="1" applyBorder="1" applyAlignment="1" applyProtection="1">
      <alignment/>
      <protection locked="0"/>
    </xf>
    <xf numFmtId="2" fontId="6" fillId="0" borderId="106" xfId="0" applyNumberFormat="1" applyFont="1" applyFill="1" applyBorder="1" applyAlignment="1" applyProtection="1">
      <alignment/>
      <protection hidden="1"/>
    </xf>
    <xf numFmtId="0" fontId="143" fillId="37" borderId="15" xfId="0" applyFont="1" applyFill="1" applyBorder="1" applyAlignment="1" applyProtection="1">
      <alignment/>
      <protection locked="0"/>
    </xf>
    <xf numFmtId="2" fontId="6" fillId="0" borderId="35" xfId="0" applyNumberFormat="1" applyFont="1" applyFill="1" applyBorder="1" applyAlignment="1" applyProtection="1">
      <alignment/>
      <protection hidden="1"/>
    </xf>
    <xf numFmtId="0" fontId="141" fillId="36" borderId="19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171" fontId="2" fillId="35" borderId="10" xfId="42" applyFont="1" applyFill="1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2" fontId="6" fillId="0" borderId="99" xfId="0" applyNumberFormat="1" applyFont="1" applyFill="1" applyBorder="1" applyAlignment="1" applyProtection="1">
      <alignment/>
      <protection hidden="1"/>
    </xf>
    <xf numFmtId="2" fontId="6" fillId="0" borderId="103" xfId="0" applyNumberFormat="1" applyFont="1" applyFill="1" applyBorder="1" applyAlignment="1" applyProtection="1">
      <alignment/>
      <protection hidden="1"/>
    </xf>
    <xf numFmtId="171" fontId="3" fillId="0" borderId="0" xfId="42" applyFont="1" applyBorder="1" applyAlignment="1">
      <alignment/>
    </xf>
    <xf numFmtId="0" fontId="131" fillId="0" borderId="12" xfId="0" applyFont="1" applyFill="1" applyBorder="1" applyAlignment="1" quotePrefix="1">
      <alignment horizontal="center"/>
    </xf>
    <xf numFmtId="0" fontId="131" fillId="0" borderId="0" xfId="0" applyFont="1" applyFill="1" applyBorder="1" applyAlignment="1" applyProtection="1" quotePrefix="1">
      <alignment horizontal="center"/>
      <protection hidden="1"/>
    </xf>
    <xf numFmtId="0" fontId="131" fillId="0" borderId="14" xfId="0" applyFont="1" applyFill="1" applyBorder="1" applyAlignment="1" applyProtection="1" quotePrefix="1">
      <alignment horizontal="center"/>
      <protection hidden="1"/>
    </xf>
    <xf numFmtId="0" fontId="131" fillId="0" borderId="12" xfId="0" applyFont="1" applyFill="1" applyBorder="1" applyAlignment="1" applyProtection="1" quotePrefix="1">
      <alignment horizontal="center"/>
      <protection hidden="1"/>
    </xf>
    <xf numFmtId="2" fontId="145" fillId="0" borderId="156" xfId="0" applyNumberFormat="1" applyFont="1" applyFill="1" applyBorder="1" applyAlignment="1" applyProtection="1">
      <alignment/>
      <protection hidden="1"/>
    </xf>
    <xf numFmtId="2" fontId="145" fillId="0" borderId="157" xfId="0" applyNumberFormat="1" applyFont="1" applyFill="1" applyBorder="1" applyAlignment="1" applyProtection="1">
      <alignment/>
      <protection hidden="1"/>
    </xf>
    <xf numFmtId="2" fontId="145" fillId="0" borderId="158" xfId="0" applyNumberFormat="1" applyFont="1" applyFill="1" applyBorder="1" applyAlignment="1" applyProtection="1">
      <alignment/>
      <protection hidden="1"/>
    </xf>
    <xf numFmtId="2" fontId="145" fillId="0" borderId="15" xfId="0" applyNumberFormat="1" applyFont="1" applyFill="1" applyBorder="1" applyAlignment="1" applyProtection="1">
      <alignment/>
      <protection hidden="1"/>
    </xf>
    <xf numFmtId="2" fontId="145" fillId="0" borderId="38" xfId="0" applyNumberFormat="1" applyFont="1" applyFill="1" applyBorder="1" applyAlignment="1" applyProtection="1">
      <alignment/>
      <protection hidden="1"/>
    </xf>
    <xf numFmtId="2" fontId="145" fillId="0" borderId="22" xfId="0" applyNumberFormat="1" applyFont="1" applyFill="1" applyBorder="1" applyAlignment="1" applyProtection="1">
      <alignment/>
      <protection hidden="1"/>
    </xf>
    <xf numFmtId="0" fontId="27" fillId="0" borderId="0" xfId="0" applyFont="1" applyBorder="1" applyAlignment="1">
      <alignment/>
    </xf>
    <xf numFmtId="0" fontId="143" fillId="0" borderId="14" xfId="0" applyFont="1" applyFill="1" applyBorder="1" applyAlignment="1" applyProtection="1">
      <alignment/>
      <protection locked="0"/>
    </xf>
    <xf numFmtId="171" fontId="3" fillId="0" borderId="14" xfId="42" applyFont="1" applyFill="1" applyBorder="1" applyAlignment="1">
      <alignment/>
    </xf>
    <xf numFmtId="171" fontId="2" fillId="0" borderId="18" xfId="42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2" fontId="3" fillId="0" borderId="17" xfId="0" applyNumberFormat="1" applyFont="1" applyFill="1" applyBorder="1" applyAlignment="1" applyProtection="1" quotePrefix="1">
      <alignment horizontal="center"/>
      <protection hidden="1"/>
    </xf>
    <xf numFmtId="2" fontId="142" fillId="0" borderId="19" xfId="0" applyNumberFormat="1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7" fillId="0" borderId="54" xfId="0" applyNumberFormat="1" applyFont="1" applyFill="1" applyBorder="1" applyAlignment="1" applyProtection="1">
      <alignment/>
      <protection locked="0"/>
    </xf>
    <xf numFmtId="2" fontId="23" fillId="0" borderId="14" xfId="0" applyNumberFormat="1" applyFont="1" applyFill="1" applyBorder="1" applyAlignment="1" applyProtection="1">
      <alignment/>
      <protection hidden="1"/>
    </xf>
    <xf numFmtId="2" fontId="23" fillId="0" borderId="43" xfId="0" applyNumberFormat="1" applyFont="1" applyFill="1" applyBorder="1" applyAlignment="1" applyProtection="1">
      <alignment/>
      <protection hidden="1"/>
    </xf>
    <xf numFmtId="2" fontId="23" fillId="0" borderId="16" xfId="0" applyNumberFormat="1" applyFont="1" applyFill="1" applyBorder="1" applyAlignment="1" applyProtection="1">
      <alignment/>
      <protection hidden="1"/>
    </xf>
    <xf numFmtId="0" fontId="151" fillId="0" borderId="13" xfId="0" applyFont="1" applyFill="1" applyBorder="1" applyAlignment="1" applyProtection="1">
      <alignment horizontal="center"/>
      <protection hidden="1"/>
    </xf>
    <xf numFmtId="2" fontId="150" fillId="0" borderId="13" xfId="0" applyNumberFormat="1" applyFont="1" applyFill="1" applyBorder="1" applyAlignment="1" applyProtection="1" quotePrefix="1">
      <alignment horizontal="right"/>
      <protection hidden="1"/>
    </xf>
    <xf numFmtId="2" fontId="158" fillId="2" borderId="21" xfId="0" applyNumberFormat="1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14" xfId="0" applyNumberFormat="1" applyFont="1" applyFill="1" applyBorder="1" applyAlignment="1" applyProtection="1">
      <alignment/>
      <protection locked="0"/>
    </xf>
    <xf numFmtId="1" fontId="7" fillId="0" borderId="12" xfId="0" applyNumberFormat="1" applyFont="1" applyFill="1" applyBorder="1" applyAlignment="1" applyProtection="1">
      <alignment/>
      <protection locked="0"/>
    </xf>
    <xf numFmtId="2" fontId="23" fillId="0" borderId="12" xfId="0" applyNumberFormat="1" applyFont="1" applyFill="1" applyBorder="1" applyAlignment="1" applyProtection="1">
      <alignment/>
      <protection hidden="1"/>
    </xf>
    <xf numFmtId="2" fontId="150" fillId="0" borderId="15" xfId="0" applyNumberFormat="1" applyFont="1" applyFill="1" applyBorder="1" applyAlignment="1" applyProtection="1" quotePrefix="1">
      <alignment horizontal="right"/>
      <protection hidden="1"/>
    </xf>
    <xf numFmtId="0" fontId="3" fillId="0" borderId="15" xfId="0" applyFont="1" applyFill="1" applyBorder="1" applyAlignment="1" applyProtection="1">
      <alignment/>
      <protection locked="0"/>
    </xf>
    <xf numFmtId="2" fontId="23" fillId="0" borderId="21" xfId="0" applyNumberFormat="1" applyFont="1" applyFill="1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/>
      <protection locked="0"/>
    </xf>
    <xf numFmtId="2" fontId="23" fillId="0" borderId="75" xfId="0" applyNumberFormat="1" applyFont="1" applyFill="1" applyBorder="1" applyAlignment="1" applyProtection="1">
      <alignment/>
      <protection hidden="1"/>
    </xf>
    <xf numFmtId="2" fontId="23" fillId="0" borderId="159" xfId="0" applyNumberFormat="1" applyFont="1" applyFill="1" applyBorder="1" applyAlignment="1" applyProtection="1">
      <alignment/>
      <protection hidden="1"/>
    </xf>
    <xf numFmtId="2" fontId="6" fillId="0" borderId="54" xfId="0" applyNumberFormat="1" applyFont="1" applyFill="1" applyBorder="1" applyAlignment="1" applyProtection="1">
      <alignment/>
      <protection hidden="1"/>
    </xf>
    <xf numFmtId="2" fontId="6" fillId="0" borderId="12" xfId="0" applyNumberFormat="1" applyFont="1" applyFill="1" applyBorder="1" applyAlignment="1" applyProtection="1">
      <alignment/>
      <protection hidden="1"/>
    </xf>
    <xf numFmtId="0" fontId="3" fillId="0" borderId="160" xfId="0" applyFont="1" applyBorder="1" applyAlignment="1">
      <alignment/>
    </xf>
    <xf numFmtId="0" fontId="3" fillId="0" borderId="161" xfId="0" applyFont="1" applyBorder="1" applyAlignment="1">
      <alignment/>
    </xf>
    <xf numFmtId="171" fontId="141" fillId="0" borderId="13" xfId="42" applyFont="1" applyFill="1" applyBorder="1" applyAlignment="1" applyProtection="1" quotePrefix="1">
      <alignment horizontal="right"/>
      <protection/>
    </xf>
    <xf numFmtId="2" fontId="3" fillId="0" borderId="13" xfId="0" applyNumberFormat="1" applyFont="1" applyFill="1" applyBorder="1" applyAlignment="1" applyProtection="1" quotePrefix="1">
      <alignment horizontal="center"/>
      <protection/>
    </xf>
    <xf numFmtId="2" fontId="139" fillId="41" borderId="13" xfId="0" applyNumberFormat="1" applyFont="1" applyFill="1" applyBorder="1" applyAlignment="1" applyProtection="1">
      <alignment/>
      <protection/>
    </xf>
    <xf numFmtId="171" fontId="141" fillId="0" borderId="10" xfId="42" applyFont="1" applyFill="1" applyBorder="1" applyAlignment="1" applyProtection="1" quotePrefix="1">
      <alignment horizontal="right"/>
      <protection/>
    </xf>
    <xf numFmtId="43" fontId="141" fillId="3" borderId="0" xfId="0" applyNumberFormat="1" applyFont="1" applyFill="1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2" fontId="153" fillId="0" borderId="162" xfId="0" applyNumberFormat="1" applyFont="1" applyFill="1" applyBorder="1" applyAlignment="1" applyProtection="1">
      <alignment horizontal="right"/>
      <protection/>
    </xf>
    <xf numFmtId="2" fontId="160" fillId="0" borderId="127" xfId="0" applyNumberFormat="1" applyFont="1" applyFill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2" fontId="2" fillId="0" borderId="15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163" xfId="0" applyNumberFormat="1" applyFont="1" applyFill="1" applyBorder="1" applyAlignment="1" applyProtection="1">
      <alignment horizontal="center"/>
      <protection/>
    </xf>
    <xf numFmtId="2" fontId="2" fillId="0" borderId="164" xfId="0" applyNumberFormat="1" applyFont="1" applyFill="1" applyBorder="1" applyAlignment="1" applyProtection="1">
      <alignment horizontal="center"/>
      <protection/>
    </xf>
    <xf numFmtId="2" fontId="2" fillId="0" borderId="165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7" fillId="0" borderId="154" xfId="0" applyFont="1" applyFill="1" applyBorder="1" applyAlignment="1" applyProtection="1">
      <alignment horizontal="center"/>
      <protection hidden="1"/>
    </xf>
    <xf numFmtId="0" fontId="7" fillId="0" borderId="155" xfId="0" applyFont="1" applyFill="1" applyBorder="1" applyAlignment="1" applyProtection="1">
      <alignment horizontal="center"/>
      <protection hidden="1"/>
    </xf>
    <xf numFmtId="2" fontId="27" fillId="0" borderId="154" xfId="0" applyNumberFormat="1" applyFont="1" applyFill="1" applyBorder="1" applyAlignment="1" applyProtection="1">
      <alignment horizontal="center"/>
      <protection hidden="1"/>
    </xf>
    <xf numFmtId="2" fontId="27" fillId="0" borderId="153" xfId="0" applyNumberFormat="1" applyFont="1" applyFill="1" applyBorder="1" applyAlignment="1" applyProtection="1">
      <alignment horizontal="center"/>
      <protection hidden="1"/>
    </xf>
    <xf numFmtId="2" fontId="27" fillId="0" borderId="155" xfId="0" applyNumberFormat="1" applyFont="1" applyFill="1" applyBorder="1" applyAlignment="1" applyProtection="1">
      <alignment horizontal="center"/>
      <protection hidden="1"/>
    </xf>
    <xf numFmtId="0" fontId="26" fillId="0" borderId="154" xfId="0" applyFont="1" applyFill="1" applyBorder="1" applyAlignment="1" applyProtection="1">
      <alignment horizontal="center"/>
      <protection hidden="1"/>
    </xf>
    <xf numFmtId="0" fontId="26" fillId="0" borderId="155" xfId="0" applyFont="1" applyFill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66" xfId="0" applyFont="1" applyBorder="1" applyAlignment="1" applyProtection="1">
      <alignment horizontal="center"/>
      <protection hidden="1"/>
    </xf>
    <xf numFmtId="0" fontId="3" fillId="0" borderId="16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166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0" fillId="0" borderId="0" xfId="0" applyFont="1" applyBorder="1" applyAlignment="1" applyProtection="1">
      <alignment horizontal="center" wrapText="1"/>
      <protection locked="0"/>
    </xf>
    <xf numFmtId="0" fontId="131" fillId="0" borderId="14" xfId="0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/>
    </xf>
    <xf numFmtId="0" fontId="184" fillId="39" borderId="168" xfId="0" applyFont="1" applyFill="1" applyBorder="1" applyAlignment="1" applyProtection="1">
      <alignment horizontal="center"/>
      <protection hidden="1"/>
    </xf>
    <xf numFmtId="0" fontId="184" fillId="39" borderId="153" xfId="0" applyFont="1" applyFill="1" applyBorder="1" applyAlignment="1" applyProtection="1">
      <alignment horizontal="center"/>
      <protection hidden="1"/>
    </xf>
    <xf numFmtId="0" fontId="184" fillId="39" borderId="16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46</xdr:row>
      <xdr:rowOff>114300</xdr:rowOff>
    </xdr:from>
    <xdr:to>
      <xdr:col>5</xdr:col>
      <xdr:colOff>9525</xdr:colOff>
      <xdr:row>47</xdr:row>
      <xdr:rowOff>66675</xdr:rowOff>
    </xdr:to>
    <xdr:sp>
      <xdr:nvSpPr>
        <xdr:cNvPr id="1" name="Straight Arrow Connector 1"/>
        <xdr:cNvSpPr>
          <a:spLocks/>
        </xdr:cNvSpPr>
      </xdr:nvSpPr>
      <xdr:spPr>
        <a:xfrm flipV="1">
          <a:off x="2181225" y="10306050"/>
          <a:ext cx="12573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47</xdr:row>
      <xdr:rowOff>9525</xdr:rowOff>
    </xdr:from>
    <xdr:to>
      <xdr:col>6</xdr:col>
      <xdr:colOff>123825</xdr:colOff>
      <xdr:row>48</xdr:row>
      <xdr:rowOff>85725</xdr:rowOff>
    </xdr:to>
    <xdr:sp>
      <xdr:nvSpPr>
        <xdr:cNvPr id="2" name="Straight Arrow Connector 2"/>
        <xdr:cNvSpPr>
          <a:spLocks/>
        </xdr:cNvSpPr>
      </xdr:nvSpPr>
      <xdr:spPr>
        <a:xfrm flipV="1">
          <a:off x="2200275" y="10439400"/>
          <a:ext cx="1743075" cy="27622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43</xdr:row>
      <xdr:rowOff>114300</xdr:rowOff>
    </xdr:from>
    <xdr:to>
      <xdr:col>5</xdr:col>
      <xdr:colOff>9525</xdr:colOff>
      <xdr:row>44</xdr:row>
      <xdr:rowOff>66675</xdr:rowOff>
    </xdr:to>
    <xdr:sp>
      <xdr:nvSpPr>
        <xdr:cNvPr id="1" name="Straight Arrow Connector 2"/>
        <xdr:cNvSpPr>
          <a:spLocks/>
        </xdr:cNvSpPr>
      </xdr:nvSpPr>
      <xdr:spPr>
        <a:xfrm flipV="1">
          <a:off x="2143125" y="9658350"/>
          <a:ext cx="13335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44</xdr:row>
      <xdr:rowOff>9525</xdr:rowOff>
    </xdr:from>
    <xdr:to>
      <xdr:col>6</xdr:col>
      <xdr:colOff>123825</xdr:colOff>
      <xdr:row>45</xdr:row>
      <xdr:rowOff>85725</xdr:rowOff>
    </xdr:to>
    <xdr:sp>
      <xdr:nvSpPr>
        <xdr:cNvPr id="2" name="Straight Arrow Connector 4"/>
        <xdr:cNvSpPr>
          <a:spLocks/>
        </xdr:cNvSpPr>
      </xdr:nvSpPr>
      <xdr:spPr>
        <a:xfrm flipV="1">
          <a:off x="2162175" y="9791700"/>
          <a:ext cx="1819275" cy="27622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14</xdr:row>
      <xdr:rowOff>247650</xdr:rowOff>
    </xdr:from>
    <xdr:to>
      <xdr:col>3</xdr:col>
      <xdr:colOff>295275</xdr:colOff>
      <xdr:row>23</xdr:row>
      <xdr:rowOff>85725</xdr:rowOff>
    </xdr:to>
    <xdr:sp>
      <xdr:nvSpPr>
        <xdr:cNvPr id="1" name="Straight Arrow Connector 2"/>
        <xdr:cNvSpPr>
          <a:spLocks/>
        </xdr:cNvSpPr>
      </xdr:nvSpPr>
      <xdr:spPr>
        <a:xfrm flipV="1">
          <a:off x="2400300" y="4352925"/>
          <a:ext cx="95250" cy="25527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85725</xdr:rowOff>
    </xdr:from>
    <xdr:to>
      <xdr:col>8</xdr:col>
      <xdr:colOff>95250</xdr:colOff>
      <xdr:row>23</xdr:row>
      <xdr:rowOff>28575</xdr:rowOff>
    </xdr:to>
    <xdr:sp>
      <xdr:nvSpPr>
        <xdr:cNvPr id="2" name="Straight Arrow Connector 4"/>
        <xdr:cNvSpPr>
          <a:spLocks/>
        </xdr:cNvSpPr>
      </xdr:nvSpPr>
      <xdr:spPr>
        <a:xfrm flipH="1" flipV="1">
          <a:off x="3209925" y="6629400"/>
          <a:ext cx="2276475" cy="2190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120" zoomScaleNormal="120" zoomScaleSheetLayoutView="120" zoomScalePageLayoutView="0" workbookViewId="0" topLeftCell="A1">
      <selection activeCell="B3" sqref="B3"/>
    </sheetView>
  </sheetViews>
  <sheetFormatPr defaultColWidth="9.140625" defaultRowHeight="21.75"/>
  <cols>
    <col min="1" max="1" width="4.28125" style="1" customWidth="1"/>
    <col min="2" max="2" width="30.7109375" style="1" customWidth="1"/>
    <col min="3" max="3" width="5.00390625" style="1" customWidth="1"/>
    <col min="4" max="4" width="5.421875" style="1" customWidth="1"/>
    <col min="5" max="5" width="6.00390625" style="1" customWidth="1"/>
    <col min="6" max="6" width="5.8515625" style="13" customWidth="1"/>
    <col min="7" max="7" width="7.140625" style="13" customWidth="1"/>
    <col min="8" max="8" width="5.421875" style="1" customWidth="1"/>
    <col min="9" max="9" width="32.00390625" style="1" customWidth="1"/>
    <col min="10" max="10" width="10.00390625" style="112" hidden="1" customWidth="1"/>
    <col min="11" max="16384" width="9.140625" style="1" customWidth="1"/>
  </cols>
  <sheetData>
    <row r="1" spans="1:9" ht="21.75" customHeight="1">
      <c r="A1" s="207" t="s">
        <v>406</v>
      </c>
      <c r="B1" s="207"/>
      <c r="C1" s="207"/>
      <c r="D1" s="207"/>
      <c r="E1" s="207"/>
      <c r="F1" s="207"/>
      <c r="G1" s="207"/>
      <c r="H1" s="652" t="s">
        <v>275</v>
      </c>
      <c r="I1" s="1" t="s">
        <v>402</v>
      </c>
    </row>
    <row r="2" spans="1:9" ht="19.5" customHeight="1">
      <c r="A2" s="1034" t="s">
        <v>401</v>
      </c>
      <c r="B2" s="1034"/>
      <c r="C2" s="1034"/>
      <c r="D2" s="1034"/>
      <c r="E2" s="1034"/>
      <c r="F2" s="1034"/>
      <c r="G2" s="1034"/>
      <c r="H2" s="464"/>
      <c r="I2" s="874" t="s">
        <v>369</v>
      </c>
    </row>
    <row r="3" spans="1:7" ht="21.75" customHeight="1">
      <c r="A3" s="71" t="s">
        <v>148</v>
      </c>
      <c r="B3" s="432" t="s">
        <v>399</v>
      </c>
      <c r="E3" s="149" t="s">
        <v>171</v>
      </c>
      <c r="F3" s="514" t="s">
        <v>400</v>
      </c>
      <c r="G3" s="576"/>
    </row>
    <row r="4" spans="1:10" ht="16.5" customHeight="1">
      <c r="A4" s="158" t="s">
        <v>443</v>
      </c>
      <c r="B4" s="6"/>
      <c r="C4" s="6"/>
      <c r="D4" s="6"/>
      <c r="E4" s="6"/>
      <c r="F4" s="6"/>
      <c r="G4" s="6"/>
      <c r="H4" s="6"/>
      <c r="I4" s="159"/>
      <c r="J4" s="113"/>
    </row>
    <row r="5" spans="1:10" ht="18" customHeight="1">
      <c r="A5" s="992"/>
      <c r="B5" s="29" t="s">
        <v>0</v>
      </c>
      <c r="C5" s="997" t="s">
        <v>11</v>
      </c>
      <c r="D5" s="993" t="s">
        <v>33</v>
      </c>
      <c r="E5" s="1035" t="s">
        <v>5</v>
      </c>
      <c r="F5" s="1035"/>
      <c r="G5" s="1035"/>
      <c r="H5" s="185" t="s">
        <v>3</v>
      </c>
      <c r="I5" s="994" t="s">
        <v>4</v>
      </c>
      <c r="J5" s="114"/>
    </row>
    <row r="6" spans="1:10" ht="18" customHeight="1">
      <c r="A6" s="990"/>
      <c r="B6" s="618"/>
      <c r="C6" s="995" t="s">
        <v>13</v>
      </c>
      <c r="D6" s="995" t="s">
        <v>7</v>
      </c>
      <c r="E6" s="35" t="s">
        <v>6</v>
      </c>
      <c r="F6" s="27" t="s">
        <v>7</v>
      </c>
      <c r="G6" s="31" t="s">
        <v>8</v>
      </c>
      <c r="H6" s="996"/>
      <c r="I6" s="9"/>
      <c r="J6" s="113"/>
    </row>
    <row r="7" spans="1:10" ht="18" customHeight="1">
      <c r="A7" s="2">
        <v>1</v>
      </c>
      <c r="B7" s="3" t="s">
        <v>1</v>
      </c>
      <c r="C7" s="16"/>
      <c r="D7" s="39"/>
      <c r="E7" s="38"/>
      <c r="F7" s="39"/>
      <c r="G7" s="38"/>
      <c r="H7" s="39"/>
      <c r="I7" s="39"/>
      <c r="J7" s="116"/>
    </row>
    <row r="8" spans="1:10" ht="18" customHeight="1">
      <c r="A8" s="4"/>
      <c r="B8" s="5" t="s">
        <v>359</v>
      </c>
      <c r="C8" s="7"/>
      <c r="D8" s="13"/>
      <c r="E8" s="13"/>
      <c r="F8" s="8"/>
      <c r="H8" s="8"/>
      <c r="I8" s="724"/>
      <c r="J8" s="116"/>
    </row>
    <row r="9" spans="1:10" ht="18" customHeight="1">
      <c r="A9" s="986">
        <v>1.1</v>
      </c>
      <c r="B9" s="5" t="s">
        <v>64</v>
      </c>
      <c r="C9" s="453"/>
      <c r="D9" s="465"/>
      <c r="E9" s="453"/>
      <c r="F9" s="8"/>
      <c r="H9" s="8"/>
      <c r="I9" s="74"/>
      <c r="J9" s="116"/>
    </row>
    <row r="10" spans="1:10" ht="18" customHeight="1">
      <c r="A10" s="4"/>
      <c r="B10" s="5" t="s">
        <v>293</v>
      </c>
      <c r="C10" s="13"/>
      <c r="D10" s="13"/>
      <c r="E10" s="13"/>
      <c r="F10" s="8"/>
      <c r="H10" s="7"/>
      <c r="I10" s="725"/>
      <c r="J10" s="116"/>
    </row>
    <row r="11" spans="1:10" ht="16.5" customHeight="1">
      <c r="A11" s="19"/>
      <c r="B11" s="68" t="s">
        <v>53</v>
      </c>
      <c r="C11" s="538">
        <v>0</v>
      </c>
      <c r="D11" s="539">
        <v>0</v>
      </c>
      <c r="E11" s="163">
        <f>+D11*1/15</f>
        <v>0</v>
      </c>
      <c r="F11" s="166">
        <f>+D11/15</f>
        <v>0</v>
      </c>
      <c r="G11" s="167">
        <f>+(D11/15)*(C11-50)/50+(D11/15)</f>
        <v>0</v>
      </c>
      <c r="H11" s="106">
        <f>+E11+F11+G11</f>
        <v>0</v>
      </c>
      <c r="I11" s="74" t="s">
        <v>268</v>
      </c>
      <c r="J11" s="116"/>
    </row>
    <row r="12" spans="1:10" ht="16.5" customHeight="1">
      <c r="A12" s="19"/>
      <c r="B12" s="68" t="s">
        <v>50</v>
      </c>
      <c r="C12" s="538">
        <v>0</v>
      </c>
      <c r="D12" s="539">
        <v>0</v>
      </c>
      <c r="E12" s="163">
        <f>+D12*1/15</f>
        <v>0</v>
      </c>
      <c r="F12" s="166">
        <f>+D12/15</f>
        <v>0</v>
      </c>
      <c r="G12" s="167">
        <f>+(D12/15)*(C12-50)/50+(D12/15)</f>
        <v>0</v>
      </c>
      <c r="H12" s="106">
        <f>+E12+F12+G12</f>
        <v>0</v>
      </c>
      <c r="I12" s="74"/>
      <c r="J12" s="116"/>
    </row>
    <row r="13" spans="1:10" ht="16.5" customHeight="1">
      <c r="A13" s="19"/>
      <c r="B13" s="69" t="s">
        <v>16</v>
      </c>
      <c r="C13" s="538">
        <v>0</v>
      </c>
      <c r="D13" s="539">
        <v>0</v>
      </c>
      <c r="E13" s="163">
        <f>+D13*1/15</f>
        <v>0</v>
      </c>
      <c r="F13" s="166">
        <f>+D13/15</f>
        <v>0</v>
      </c>
      <c r="G13" s="167">
        <f>+(D13/15)*(C13-50)/50+(D13/15)</f>
        <v>0</v>
      </c>
      <c r="H13" s="106">
        <f>+E13+F13+G13</f>
        <v>0</v>
      </c>
      <c r="I13" s="74"/>
      <c r="J13" s="491"/>
    </row>
    <row r="14" spans="1:10" ht="16.5" customHeight="1">
      <c r="A14" s="19"/>
      <c r="B14" s="69" t="s">
        <v>17</v>
      </c>
      <c r="C14" s="538">
        <v>0</v>
      </c>
      <c r="D14" s="539">
        <v>0</v>
      </c>
      <c r="E14" s="163">
        <f>+D14*1/15</f>
        <v>0</v>
      </c>
      <c r="F14" s="166">
        <f>+D14/15</f>
        <v>0</v>
      </c>
      <c r="G14" s="167">
        <f>+(D14/15)*(C14-50)/50+(D14/15)</f>
        <v>0</v>
      </c>
      <c r="H14" s="106">
        <f>+E14+F14+G14</f>
        <v>0</v>
      </c>
      <c r="I14" s="75"/>
      <c r="J14" s="116"/>
    </row>
    <row r="15" spans="1:10" ht="16.5" customHeight="1">
      <c r="A15" s="19"/>
      <c r="B15" s="69" t="s">
        <v>54</v>
      </c>
      <c r="C15" s="538">
        <v>0</v>
      </c>
      <c r="D15" s="539">
        <v>0</v>
      </c>
      <c r="E15" s="163">
        <f>+D15*1/15</f>
        <v>0</v>
      </c>
      <c r="F15" s="166">
        <f>+D15/15</f>
        <v>0</v>
      </c>
      <c r="G15" s="167">
        <f>+(D15/15)*(C15-50)/50+(D15/15)</f>
        <v>0</v>
      </c>
      <c r="H15" s="106">
        <f>+E15+F15+G15</f>
        <v>0</v>
      </c>
      <c r="I15" s="75"/>
      <c r="J15" s="116"/>
    </row>
    <row r="16" spans="1:10" ht="16.5" customHeight="1">
      <c r="A16" s="19"/>
      <c r="B16" s="69" t="s">
        <v>55</v>
      </c>
      <c r="C16" s="538">
        <v>0</v>
      </c>
      <c r="D16" s="539">
        <v>0</v>
      </c>
      <c r="E16" s="163">
        <f aca="true" t="shared" si="0" ref="E16:E23">+D16*1/15</f>
        <v>0</v>
      </c>
      <c r="F16" s="166">
        <f aca="true" t="shared" si="1" ref="F16:F23">+D16/15</f>
        <v>0</v>
      </c>
      <c r="G16" s="167">
        <f aca="true" t="shared" si="2" ref="G16:G23">+(D16/15)*(C16-50)/50+(D16/15)</f>
        <v>0</v>
      </c>
      <c r="H16" s="106">
        <f aca="true" t="shared" si="3" ref="H16:H23">+E16+F16+G16</f>
        <v>0</v>
      </c>
      <c r="I16" s="75"/>
      <c r="J16" s="116"/>
    </row>
    <row r="17" spans="1:10" ht="16.5" customHeight="1">
      <c r="A17" s="19"/>
      <c r="B17" s="69" t="s">
        <v>249</v>
      </c>
      <c r="C17" s="538">
        <v>0</v>
      </c>
      <c r="D17" s="539">
        <v>0</v>
      </c>
      <c r="E17" s="163">
        <f t="shared" si="0"/>
        <v>0</v>
      </c>
      <c r="F17" s="166">
        <f t="shared" si="1"/>
        <v>0</v>
      </c>
      <c r="G17" s="167">
        <f t="shared" si="2"/>
        <v>0</v>
      </c>
      <c r="H17" s="106">
        <f t="shared" si="3"/>
        <v>0</v>
      </c>
      <c r="I17" s="75"/>
      <c r="J17" s="116"/>
    </row>
    <row r="18" spans="1:10" ht="16.5" customHeight="1">
      <c r="A18" s="19"/>
      <c r="B18" s="69" t="s">
        <v>250</v>
      </c>
      <c r="C18" s="538">
        <v>0</v>
      </c>
      <c r="D18" s="539">
        <v>0</v>
      </c>
      <c r="E18" s="163">
        <f t="shared" si="0"/>
        <v>0</v>
      </c>
      <c r="F18" s="166">
        <f t="shared" si="1"/>
        <v>0</v>
      </c>
      <c r="G18" s="167">
        <f t="shared" si="2"/>
        <v>0</v>
      </c>
      <c r="H18" s="106">
        <f t="shared" si="3"/>
        <v>0</v>
      </c>
      <c r="I18" s="75"/>
      <c r="J18" s="116"/>
    </row>
    <row r="19" spans="1:10" ht="16.5" customHeight="1">
      <c r="A19" s="19"/>
      <c r="B19" s="69" t="s">
        <v>251</v>
      </c>
      <c r="C19" s="538">
        <v>0</v>
      </c>
      <c r="D19" s="539">
        <v>0</v>
      </c>
      <c r="E19" s="163">
        <f t="shared" si="0"/>
        <v>0</v>
      </c>
      <c r="F19" s="166">
        <f t="shared" si="1"/>
        <v>0</v>
      </c>
      <c r="G19" s="167">
        <f t="shared" si="2"/>
        <v>0</v>
      </c>
      <c r="H19" s="106">
        <f t="shared" si="3"/>
        <v>0</v>
      </c>
      <c r="I19" s="75"/>
      <c r="J19" s="116"/>
    </row>
    <row r="20" spans="1:10" ht="16.5" customHeight="1">
      <c r="A20" s="19"/>
      <c r="B20" s="69" t="s">
        <v>252</v>
      </c>
      <c r="C20" s="538">
        <v>0</v>
      </c>
      <c r="D20" s="539">
        <v>0</v>
      </c>
      <c r="E20" s="163">
        <f t="shared" si="0"/>
        <v>0</v>
      </c>
      <c r="F20" s="166">
        <f t="shared" si="1"/>
        <v>0</v>
      </c>
      <c r="G20" s="167">
        <f t="shared" si="2"/>
        <v>0</v>
      </c>
      <c r="H20" s="106">
        <f t="shared" si="3"/>
        <v>0</v>
      </c>
      <c r="I20" s="75"/>
      <c r="J20" s="116"/>
    </row>
    <row r="21" spans="1:10" ht="16.5" customHeight="1">
      <c r="A21" s="19"/>
      <c r="B21" s="69" t="s">
        <v>269</v>
      </c>
      <c r="C21" s="538">
        <v>0</v>
      </c>
      <c r="D21" s="539">
        <v>0</v>
      </c>
      <c r="E21" s="163">
        <f>+D21*1/15</f>
        <v>0</v>
      </c>
      <c r="F21" s="166">
        <f>+D21/15</f>
        <v>0</v>
      </c>
      <c r="G21" s="167">
        <f>+(D21/15)*(C21-50)/50+(D21/15)</f>
        <v>0</v>
      </c>
      <c r="H21" s="106">
        <f>+E21+F21+G21</f>
        <v>0</v>
      </c>
      <c r="I21" s="75"/>
      <c r="J21" s="116"/>
    </row>
    <row r="22" spans="1:10" ht="16.5" customHeight="1">
      <c r="A22" s="19"/>
      <c r="B22" s="69" t="s">
        <v>253</v>
      </c>
      <c r="C22" s="538">
        <v>0</v>
      </c>
      <c r="D22" s="539">
        <v>0</v>
      </c>
      <c r="E22" s="163">
        <f>+D22*1/15</f>
        <v>0</v>
      </c>
      <c r="F22" s="166">
        <f>+D22/15</f>
        <v>0</v>
      </c>
      <c r="G22" s="167">
        <f>+(D22/15)*(C22-50)/50+(D22/15)</f>
        <v>0</v>
      </c>
      <c r="H22" s="106">
        <f>+E22+F22+G22</f>
        <v>0</v>
      </c>
      <c r="I22" s="75"/>
      <c r="J22" s="116"/>
    </row>
    <row r="23" spans="1:10" ht="16.5" customHeight="1">
      <c r="A23" s="19"/>
      <c r="B23" s="69" t="s">
        <v>254</v>
      </c>
      <c r="C23" s="538">
        <v>0</v>
      </c>
      <c r="D23" s="539">
        <v>0</v>
      </c>
      <c r="E23" s="163">
        <f t="shared" si="0"/>
        <v>0</v>
      </c>
      <c r="F23" s="166">
        <f t="shared" si="1"/>
        <v>0</v>
      </c>
      <c r="G23" s="167">
        <f t="shared" si="2"/>
        <v>0</v>
      </c>
      <c r="H23" s="106">
        <f t="shared" si="3"/>
        <v>0</v>
      </c>
      <c r="I23" s="75"/>
      <c r="J23" s="116"/>
    </row>
    <row r="24" spans="1:10" ht="16.5" customHeight="1">
      <c r="A24" s="19"/>
      <c r="B24" s="69" t="s">
        <v>270</v>
      </c>
      <c r="C24" s="538">
        <v>0</v>
      </c>
      <c r="D24" s="539">
        <v>0</v>
      </c>
      <c r="E24" s="163">
        <f>+D24*1/15</f>
        <v>0</v>
      </c>
      <c r="F24" s="166">
        <f>+D24/15</f>
        <v>0</v>
      </c>
      <c r="G24" s="167">
        <f>+(D24/15)*(C24-50)/50+(D24/15)</f>
        <v>0</v>
      </c>
      <c r="H24" s="106">
        <f>+E24+F24+G24</f>
        <v>0</v>
      </c>
      <c r="I24" s="75"/>
      <c r="J24" s="116"/>
    </row>
    <row r="25" spans="1:10" ht="16.5" customHeight="1">
      <c r="A25" s="208"/>
      <c r="B25" s="70" t="s">
        <v>271</v>
      </c>
      <c r="C25" s="540">
        <v>0</v>
      </c>
      <c r="D25" s="541">
        <v>0</v>
      </c>
      <c r="E25" s="170">
        <f>+D25*1/15</f>
        <v>0</v>
      </c>
      <c r="F25" s="447">
        <f>+D25/15</f>
        <v>0</v>
      </c>
      <c r="G25" s="172">
        <f>+(D25/15)*(C25-50)/50+(D25/15)</f>
        <v>0</v>
      </c>
      <c r="H25" s="107">
        <f>+E25+F25+G25</f>
        <v>0</v>
      </c>
      <c r="I25" s="93"/>
      <c r="J25" s="115"/>
    </row>
    <row r="26" spans="1:10" ht="18" customHeight="1">
      <c r="A26" s="19"/>
      <c r="B26" s="21" t="s">
        <v>172</v>
      </c>
      <c r="C26" s="60"/>
      <c r="D26" s="60"/>
      <c r="E26" s="56"/>
      <c r="F26" s="57"/>
      <c r="G26" s="56"/>
      <c r="H26" s="58"/>
      <c r="I26" s="74"/>
      <c r="J26" s="116"/>
    </row>
    <row r="27" spans="1:10" ht="18" customHeight="1">
      <c r="A27" s="19"/>
      <c r="B27" s="21" t="s">
        <v>37</v>
      </c>
      <c r="C27" s="60"/>
      <c r="D27" s="60"/>
      <c r="E27" s="56"/>
      <c r="F27" s="56"/>
      <c r="G27" s="56"/>
      <c r="H27" s="58"/>
      <c r="I27" s="74"/>
      <c r="J27" s="116"/>
    </row>
    <row r="28" spans="1:10" ht="17.25" customHeight="1">
      <c r="A28" s="19"/>
      <c r="B28" s="69" t="s">
        <v>18</v>
      </c>
      <c r="C28" s="543">
        <v>0</v>
      </c>
      <c r="D28" s="544">
        <v>0</v>
      </c>
      <c r="E28" s="163">
        <f aca="true" t="shared" si="4" ref="E28:E43">+D28*1/30</f>
        <v>0</v>
      </c>
      <c r="F28" s="164">
        <f aca="true" t="shared" si="5" ref="F28:F43">+D28*2/30</f>
        <v>0</v>
      </c>
      <c r="G28" s="165">
        <f aca="true" t="shared" si="6" ref="G28:G35">+(D28/30)*1*(C28-25)/25+(D28*1/30)</f>
        <v>0</v>
      </c>
      <c r="H28" s="106">
        <f aca="true" t="shared" si="7" ref="H28:H43">+E28+F28+G28</f>
        <v>0</v>
      </c>
      <c r="I28" s="75"/>
      <c r="J28" s="116"/>
    </row>
    <row r="29" spans="1:10" ht="17.25" customHeight="1">
      <c r="A29" s="19"/>
      <c r="B29" s="69" t="s">
        <v>19</v>
      </c>
      <c r="C29" s="545">
        <v>0</v>
      </c>
      <c r="D29" s="546">
        <v>0</v>
      </c>
      <c r="E29" s="163">
        <f t="shared" si="4"/>
        <v>0</v>
      </c>
      <c r="F29" s="164">
        <f t="shared" si="5"/>
        <v>0</v>
      </c>
      <c r="G29" s="165">
        <f t="shared" si="6"/>
        <v>0</v>
      </c>
      <c r="H29" s="106">
        <f t="shared" si="7"/>
        <v>0</v>
      </c>
      <c r="I29" s="74"/>
      <c r="J29" s="116"/>
    </row>
    <row r="30" spans="1:10" ht="17.25" customHeight="1">
      <c r="A30" s="19"/>
      <c r="B30" s="69" t="s">
        <v>20</v>
      </c>
      <c r="C30" s="545">
        <v>0</v>
      </c>
      <c r="D30" s="546">
        <v>0</v>
      </c>
      <c r="E30" s="163">
        <f t="shared" si="4"/>
        <v>0</v>
      </c>
      <c r="F30" s="164">
        <f t="shared" si="5"/>
        <v>0</v>
      </c>
      <c r="G30" s="165">
        <f t="shared" si="6"/>
        <v>0</v>
      </c>
      <c r="H30" s="106">
        <f t="shared" si="7"/>
        <v>0</v>
      </c>
      <c r="I30" s="74"/>
      <c r="J30" s="116"/>
    </row>
    <row r="31" spans="1:10" ht="17.25" customHeight="1">
      <c r="A31" s="19"/>
      <c r="B31" s="69" t="s">
        <v>21</v>
      </c>
      <c r="C31" s="545">
        <v>0</v>
      </c>
      <c r="D31" s="546">
        <v>0</v>
      </c>
      <c r="E31" s="163">
        <f t="shared" si="4"/>
        <v>0</v>
      </c>
      <c r="F31" s="164">
        <f t="shared" si="5"/>
        <v>0</v>
      </c>
      <c r="G31" s="165">
        <f t="shared" si="6"/>
        <v>0</v>
      </c>
      <c r="H31" s="106">
        <f t="shared" si="7"/>
        <v>0</v>
      </c>
      <c r="I31" s="74"/>
      <c r="J31" s="116"/>
    </row>
    <row r="32" spans="1:10" ht="17.25" customHeight="1">
      <c r="A32" s="19"/>
      <c r="B32" s="69" t="s">
        <v>223</v>
      </c>
      <c r="C32" s="545">
        <v>0</v>
      </c>
      <c r="D32" s="546">
        <v>0</v>
      </c>
      <c r="E32" s="163">
        <f>+D32*1/30</f>
        <v>0</v>
      </c>
      <c r="F32" s="164">
        <f>+D32*2/30</f>
        <v>0</v>
      </c>
      <c r="G32" s="165">
        <f t="shared" si="6"/>
        <v>0</v>
      </c>
      <c r="H32" s="106">
        <f>+E32+F32+G32</f>
        <v>0</v>
      </c>
      <c r="I32" s="74"/>
      <c r="J32" s="116"/>
    </row>
    <row r="33" spans="1:10" ht="17.25" customHeight="1">
      <c r="A33" s="19"/>
      <c r="B33" s="69" t="s">
        <v>255</v>
      </c>
      <c r="C33" s="545">
        <v>0</v>
      </c>
      <c r="D33" s="546">
        <v>0</v>
      </c>
      <c r="E33" s="163">
        <f>+D33*1/30</f>
        <v>0</v>
      </c>
      <c r="F33" s="164">
        <f>+D33*2/30</f>
        <v>0</v>
      </c>
      <c r="G33" s="165">
        <f t="shared" si="6"/>
        <v>0</v>
      </c>
      <c r="H33" s="106">
        <f>+E33+F33+G33</f>
        <v>0</v>
      </c>
      <c r="I33" s="74"/>
      <c r="J33" s="116"/>
    </row>
    <row r="34" spans="1:10" ht="17.25" customHeight="1">
      <c r="A34" s="19"/>
      <c r="B34" s="69" t="s">
        <v>256</v>
      </c>
      <c r="C34" s="545">
        <v>0</v>
      </c>
      <c r="D34" s="546">
        <v>0</v>
      </c>
      <c r="E34" s="163">
        <f>+D34*1/30</f>
        <v>0</v>
      </c>
      <c r="F34" s="164">
        <f>+D34*2/30</f>
        <v>0</v>
      </c>
      <c r="G34" s="165">
        <f t="shared" si="6"/>
        <v>0</v>
      </c>
      <c r="H34" s="106">
        <f>+E34+F34+G34</f>
        <v>0</v>
      </c>
      <c r="I34" s="74"/>
      <c r="J34" s="116"/>
    </row>
    <row r="35" spans="1:10" ht="17.25" customHeight="1">
      <c r="A35" s="19"/>
      <c r="B35" s="70" t="s">
        <v>256</v>
      </c>
      <c r="C35" s="692">
        <v>0</v>
      </c>
      <c r="D35" s="693">
        <v>0</v>
      </c>
      <c r="E35" s="168">
        <f>+D35*1/30</f>
        <v>0</v>
      </c>
      <c r="F35" s="174">
        <f>+D35*2/30</f>
        <v>0</v>
      </c>
      <c r="G35" s="657">
        <f t="shared" si="6"/>
        <v>0</v>
      </c>
      <c r="H35" s="505">
        <f>+E35+F35+G35</f>
        <v>0</v>
      </c>
      <c r="I35" s="210"/>
      <c r="J35" s="116"/>
    </row>
    <row r="36" spans="1:10" ht="17.25" customHeight="1">
      <c r="A36" s="19"/>
      <c r="B36" s="485" t="s">
        <v>257</v>
      </c>
      <c r="C36" s="543">
        <v>0</v>
      </c>
      <c r="D36" s="544">
        <v>0</v>
      </c>
      <c r="E36" s="163">
        <f t="shared" si="4"/>
        <v>0</v>
      </c>
      <c r="F36" s="164">
        <f t="shared" si="5"/>
        <v>0</v>
      </c>
      <c r="G36" s="165">
        <f aca="true" t="shared" si="8" ref="G36:G43">+(D36/30)*1*(C36-12)/12+(D36*1/30)</f>
        <v>0</v>
      </c>
      <c r="H36" s="106">
        <f t="shared" si="7"/>
        <v>0</v>
      </c>
      <c r="I36" s="74"/>
      <c r="J36" s="116"/>
    </row>
    <row r="37" spans="1:10" ht="17.25" customHeight="1">
      <c r="A37" s="19"/>
      <c r="B37" s="485" t="s">
        <v>258</v>
      </c>
      <c r="C37" s="545">
        <v>0</v>
      </c>
      <c r="D37" s="546">
        <v>0</v>
      </c>
      <c r="E37" s="163">
        <f>+D37*1/30</f>
        <v>0</v>
      </c>
      <c r="F37" s="164">
        <f>+D37*2/30</f>
        <v>0</v>
      </c>
      <c r="G37" s="165">
        <f t="shared" si="8"/>
        <v>0</v>
      </c>
      <c r="H37" s="106">
        <f>+E37+F37+G37</f>
        <v>0</v>
      </c>
      <c r="I37" s="74"/>
      <c r="J37" s="116"/>
    </row>
    <row r="38" spans="1:10" ht="17.25" customHeight="1">
      <c r="A38" s="19"/>
      <c r="B38" s="485" t="s">
        <v>259</v>
      </c>
      <c r="C38" s="545">
        <v>0</v>
      </c>
      <c r="D38" s="546">
        <v>0</v>
      </c>
      <c r="E38" s="163">
        <f>+D38*1/30</f>
        <v>0</v>
      </c>
      <c r="F38" s="164">
        <f>+D38*2/30</f>
        <v>0</v>
      </c>
      <c r="G38" s="165">
        <f t="shared" si="8"/>
        <v>0</v>
      </c>
      <c r="H38" s="106">
        <f>+E38+F38+G38</f>
        <v>0</v>
      </c>
      <c r="I38" s="74"/>
      <c r="J38" s="116"/>
    </row>
    <row r="39" spans="1:10" ht="17.25" customHeight="1">
      <c r="A39" s="19"/>
      <c r="B39" s="485" t="s">
        <v>260</v>
      </c>
      <c r="C39" s="545">
        <v>0</v>
      </c>
      <c r="D39" s="546">
        <v>0</v>
      </c>
      <c r="E39" s="163">
        <f>+D39*1/30</f>
        <v>0</v>
      </c>
      <c r="F39" s="164">
        <f>+D39*2/30</f>
        <v>0</v>
      </c>
      <c r="G39" s="165">
        <f t="shared" si="8"/>
        <v>0</v>
      </c>
      <c r="H39" s="106">
        <f>+E39+F39+G39</f>
        <v>0</v>
      </c>
      <c r="I39" s="74"/>
      <c r="J39" s="116"/>
    </row>
    <row r="40" spans="1:10" ht="17.25" customHeight="1">
      <c r="A40" s="19"/>
      <c r="B40" s="485" t="s">
        <v>261</v>
      </c>
      <c r="C40" s="545">
        <v>0</v>
      </c>
      <c r="D40" s="546">
        <v>0</v>
      </c>
      <c r="E40" s="163">
        <f t="shared" si="4"/>
        <v>0</v>
      </c>
      <c r="F40" s="164">
        <f t="shared" si="5"/>
        <v>0</v>
      </c>
      <c r="G40" s="165">
        <f t="shared" si="8"/>
        <v>0</v>
      </c>
      <c r="H40" s="106">
        <f t="shared" si="7"/>
        <v>0</v>
      </c>
      <c r="I40" s="74"/>
      <c r="J40" s="116"/>
    </row>
    <row r="41" spans="1:10" ht="17.25" customHeight="1">
      <c r="A41" s="19"/>
      <c r="B41" s="485" t="s">
        <v>262</v>
      </c>
      <c r="C41" s="545">
        <v>0</v>
      </c>
      <c r="D41" s="546">
        <v>0</v>
      </c>
      <c r="E41" s="163">
        <f t="shared" si="4"/>
        <v>0</v>
      </c>
      <c r="F41" s="164">
        <f t="shared" si="5"/>
        <v>0</v>
      </c>
      <c r="G41" s="165">
        <f t="shared" si="8"/>
        <v>0</v>
      </c>
      <c r="H41" s="106">
        <f t="shared" si="7"/>
        <v>0</v>
      </c>
      <c r="I41" s="74"/>
      <c r="J41" s="116"/>
    </row>
    <row r="42" spans="1:10" ht="18.75" customHeight="1">
      <c r="A42" s="19"/>
      <c r="B42" s="485" t="s">
        <v>263</v>
      </c>
      <c r="C42" s="545">
        <v>0</v>
      </c>
      <c r="D42" s="546">
        <v>0</v>
      </c>
      <c r="E42" s="163">
        <f>+D42*1/30</f>
        <v>0</v>
      </c>
      <c r="F42" s="164">
        <f>+D42*2/30</f>
        <v>0</v>
      </c>
      <c r="G42" s="165">
        <f t="shared" si="8"/>
        <v>0</v>
      </c>
      <c r="H42" s="106">
        <f>+E42+F42+G42</f>
        <v>0</v>
      </c>
      <c r="I42" s="74"/>
      <c r="J42" s="116"/>
    </row>
    <row r="43" spans="1:10" ht="18.75" customHeight="1">
      <c r="A43" s="208"/>
      <c r="B43" s="486" t="s">
        <v>264</v>
      </c>
      <c r="C43" s="542">
        <v>0</v>
      </c>
      <c r="D43" s="467">
        <v>0</v>
      </c>
      <c r="E43" s="170">
        <f t="shared" si="4"/>
        <v>0</v>
      </c>
      <c r="F43" s="171">
        <f t="shared" si="5"/>
        <v>0</v>
      </c>
      <c r="G43" s="487">
        <f t="shared" si="8"/>
        <v>0</v>
      </c>
      <c r="H43" s="107">
        <f t="shared" si="7"/>
        <v>0</v>
      </c>
      <c r="I43" s="210"/>
      <c r="J43" s="115"/>
    </row>
    <row r="44" spans="1:10" ht="21" customHeight="1">
      <c r="A44" s="19"/>
      <c r="B44" s="65" t="s">
        <v>294</v>
      </c>
      <c r="C44" s="66"/>
      <c r="D44" s="67"/>
      <c r="E44" s="53"/>
      <c r="F44" s="55"/>
      <c r="G44" s="54"/>
      <c r="H44" s="106"/>
      <c r="I44" s="74"/>
      <c r="J44" s="116"/>
    </row>
    <row r="45" spans="1:10" ht="15.75" customHeight="1">
      <c r="A45" s="19"/>
      <c r="B45" s="466" t="s">
        <v>173</v>
      </c>
      <c r="C45" s="544">
        <v>0</v>
      </c>
      <c r="D45" s="548">
        <v>0</v>
      </c>
      <c r="E45" s="488">
        <f>+D45*1/15</f>
        <v>0</v>
      </c>
      <c r="F45" s="175">
        <f>+D45/15</f>
        <v>0</v>
      </c>
      <c r="G45" s="176">
        <f>+(D45/15)*(C45-20)/20+(D45/15)</f>
        <v>0</v>
      </c>
      <c r="H45" s="489">
        <f>+E45+F45+G45</f>
        <v>0</v>
      </c>
      <c r="I45" s="216" t="s">
        <v>299</v>
      </c>
      <c r="J45" s="116"/>
    </row>
    <row r="46" spans="1:10" ht="15.75" customHeight="1" thickBot="1">
      <c r="A46" s="19"/>
      <c r="B46" s="466" t="s">
        <v>265</v>
      </c>
      <c r="C46" s="544">
        <v>0</v>
      </c>
      <c r="D46" s="548">
        <v>0</v>
      </c>
      <c r="E46" s="488">
        <f>+D46*1/15</f>
        <v>0</v>
      </c>
      <c r="F46" s="694">
        <f>+D46/15</f>
        <v>0</v>
      </c>
      <c r="G46" s="696">
        <f>+(D46/15)*(C46-20)/20+(D46/15)</f>
        <v>0</v>
      </c>
      <c r="H46" s="489">
        <f>+E46+F46+G46</f>
        <v>0</v>
      </c>
      <c r="I46" s="75"/>
      <c r="J46" s="116"/>
    </row>
    <row r="47" spans="1:10" ht="18.75" customHeight="1" thickBot="1" thickTop="1">
      <c r="A47" s="19"/>
      <c r="B47" s="466" t="s">
        <v>295</v>
      </c>
      <c r="C47" s="544"/>
      <c r="D47" s="548"/>
      <c r="E47" s="488"/>
      <c r="F47" s="697">
        <v>2</v>
      </c>
      <c r="G47" s="698">
        <v>2</v>
      </c>
      <c r="H47" s="695"/>
      <c r="I47" s="216" t="s">
        <v>298</v>
      </c>
      <c r="J47" s="116"/>
    </row>
    <row r="48" spans="1:10" ht="15.75" customHeight="1" thickTop="1">
      <c r="A48" s="19"/>
      <c r="B48" s="68" t="s">
        <v>360</v>
      </c>
      <c r="C48" s="545">
        <v>0</v>
      </c>
      <c r="D48" s="546">
        <v>0</v>
      </c>
      <c r="E48" s="488">
        <f>+D48*1/15</f>
        <v>0</v>
      </c>
      <c r="F48" s="166">
        <f>+D48/15</f>
        <v>0</v>
      </c>
      <c r="G48" s="167">
        <f>+(D48/15)*(C48-50)/50+(D48/15)</f>
        <v>0</v>
      </c>
      <c r="H48" s="147">
        <f>IF(F47&gt;1,(+E48+F48+G48)*2/F47,0)</f>
        <v>0</v>
      </c>
      <c r="I48" s="216"/>
      <c r="J48" s="116"/>
    </row>
    <row r="49" spans="1:10" ht="15.75" customHeight="1">
      <c r="A49" s="20"/>
      <c r="B49" s="94" t="s">
        <v>296</v>
      </c>
      <c r="C49" s="547">
        <v>0</v>
      </c>
      <c r="D49" s="467">
        <v>0</v>
      </c>
      <c r="E49" s="488">
        <f>+D49*1/15</f>
        <v>0</v>
      </c>
      <c r="F49" s="166">
        <f>+D49/15</f>
        <v>0</v>
      </c>
      <c r="G49" s="176">
        <f>+(D49/15)*(C49-50)/50+(D49/15)</f>
        <v>0</v>
      </c>
      <c r="H49" s="147">
        <f>IF(G47&gt;1,(+E49+F49+G49)*2/G47,0)</f>
        <v>0</v>
      </c>
      <c r="I49" s="217"/>
      <c r="J49" s="116"/>
    </row>
    <row r="50" spans="1:10" ht="3" customHeight="1">
      <c r="A50" s="22"/>
      <c r="B50" s="673"/>
      <c r="C50" s="619"/>
      <c r="D50" s="619"/>
      <c r="E50" s="620"/>
      <c r="F50" s="621"/>
      <c r="G50" s="621"/>
      <c r="H50" s="674"/>
      <c r="I50" s="675"/>
      <c r="J50" s="491"/>
    </row>
    <row r="51" spans="1:10" s="474" customFormat="1" ht="3" customHeight="1">
      <c r="A51" s="659"/>
      <c r="B51" s="668"/>
      <c r="C51" s="669"/>
      <c r="D51" s="670"/>
      <c r="E51" s="671"/>
      <c r="F51" s="663"/>
      <c r="G51" s="663"/>
      <c r="H51" s="664"/>
      <c r="I51" s="672"/>
      <c r="J51" s="473"/>
    </row>
    <row r="52" spans="1:10" ht="15.75" customHeight="1">
      <c r="A52" s="28"/>
      <c r="B52" s="33" t="s">
        <v>0</v>
      </c>
      <c r="C52" s="37" t="s">
        <v>11</v>
      </c>
      <c r="D52" s="21" t="s">
        <v>33</v>
      </c>
      <c r="E52" s="1036" t="s">
        <v>5</v>
      </c>
      <c r="F52" s="1036"/>
      <c r="G52" s="1036"/>
      <c r="H52" s="42" t="s">
        <v>3</v>
      </c>
      <c r="I52" s="46" t="s">
        <v>387</v>
      </c>
      <c r="J52" s="116"/>
    </row>
    <row r="53" spans="1:10" ht="15.75" customHeight="1">
      <c r="A53" s="617"/>
      <c r="B53" s="618"/>
      <c r="C53" s="34" t="s">
        <v>13</v>
      </c>
      <c r="D53" s="34" t="s">
        <v>7</v>
      </c>
      <c r="E53" s="35" t="s">
        <v>6</v>
      </c>
      <c r="F53" s="27" t="s">
        <v>7</v>
      </c>
      <c r="G53" s="31" t="s">
        <v>8</v>
      </c>
      <c r="H53" s="18"/>
      <c r="I53" s="9"/>
      <c r="J53" s="116"/>
    </row>
    <row r="54" spans="1:10" ht="18" customHeight="1">
      <c r="A54" s="19"/>
      <c r="B54" s="21" t="s">
        <v>174</v>
      </c>
      <c r="C54" s="61"/>
      <c r="D54" s="60"/>
      <c r="E54" s="56"/>
      <c r="F54" s="56"/>
      <c r="G54" s="56"/>
      <c r="H54" s="108"/>
      <c r="I54" s="74"/>
      <c r="J54" s="116"/>
    </row>
    <row r="55" spans="1:10" ht="17.25" customHeight="1">
      <c r="A55" s="19"/>
      <c r="B55" s="69" t="s">
        <v>150</v>
      </c>
      <c r="C55" s="543">
        <v>0</v>
      </c>
      <c r="D55" s="544">
        <v>0</v>
      </c>
      <c r="E55" s="163">
        <f aca="true" t="shared" si="9" ref="E55:E61">+D55*2/60</f>
        <v>0</v>
      </c>
      <c r="F55" s="164">
        <f aca="true" t="shared" si="10" ref="F55:F61">+D55*4/60</f>
        <v>0</v>
      </c>
      <c r="G55" s="167">
        <f aca="true" t="shared" si="11" ref="G55:G66">+(D55/60)*3*(C55-8)/8+(D55*3/60)</f>
        <v>0</v>
      </c>
      <c r="H55" s="106">
        <f aca="true" t="shared" si="12" ref="H55:H66">+E55+F55+G55</f>
        <v>0</v>
      </c>
      <c r="I55" s="75"/>
      <c r="J55" s="116"/>
    </row>
    <row r="56" spans="1:10" ht="17.25" customHeight="1">
      <c r="A56" s="19"/>
      <c r="B56" s="69" t="s">
        <v>151</v>
      </c>
      <c r="C56" s="545">
        <v>0</v>
      </c>
      <c r="D56" s="546">
        <v>0</v>
      </c>
      <c r="E56" s="163">
        <f t="shared" si="9"/>
        <v>0</v>
      </c>
      <c r="F56" s="164">
        <f t="shared" si="10"/>
        <v>0</v>
      </c>
      <c r="G56" s="167">
        <f t="shared" si="11"/>
        <v>0</v>
      </c>
      <c r="H56" s="106">
        <f t="shared" si="12"/>
        <v>0</v>
      </c>
      <c r="I56" s="75"/>
      <c r="J56" s="116"/>
    </row>
    <row r="57" spans="1:10" ht="17.25" customHeight="1">
      <c r="A57" s="19"/>
      <c r="B57" s="72" t="s">
        <v>152</v>
      </c>
      <c r="C57" s="545">
        <v>0</v>
      </c>
      <c r="D57" s="546">
        <v>0</v>
      </c>
      <c r="E57" s="163">
        <f t="shared" si="9"/>
        <v>0</v>
      </c>
      <c r="F57" s="164">
        <f t="shared" si="10"/>
        <v>0</v>
      </c>
      <c r="G57" s="167">
        <f t="shared" si="11"/>
        <v>0</v>
      </c>
      <c r="H57" s="106">
        <f t="shared" si="12"/>
        <v>0</v>
      </c>
      <c r="I57" s="74"/>
      <c r="J57" s="116"/>
    </row>
    <row r="58" spans="1:10" ht="17.25" customHeight="1">
      <c r="A58" s="19"/>
      <c r="B58" s="72" t="s">
        <v>38</v>
      </c>
      <c r="C58" s="545">
        <v>0</v>
      </c>
      <c r="D58" s="546">
        <v>0</v>
      </c>
      <c r="E58" s="163">
        <f t="shared" si="9"/>
        <v>0</v>
      </c>
      <c r="F58" s="164">
        <f t="shared" si="10"/>
        <v>0</v>
      </c>
      <c r="G58" s="167">
        <f t="shared" si="11"/>
        <v>0</v>
      </c>
      <c r="H58" s="106">
        <f t="shared" si="12"/>
        <v>0</v>
      </c>
      <c r="I58" s="74"/>
      <c r="J58" s="116"/>
    </row>
    <row r="59" spans="1:10" ht="17.25" customHeight="1">
      <c r="A59" s="19"/>
      <c r="B59" s="72" t="s">
        <v>56</v>
      </c>
      <c r="C59" s="545">
        <v>0</v>
      </c>
      <c r="D59" s="546">
        <v>0</v>
      </c>
      <c r="E59" s="163">
        <f t="shared" si="9"/>
        <v>0</v>
      </c>
      <c r="F59" s="164">
        <f t="shared" si="10"/>
        <v>0</v>
      </c>
      <c r="G59" s="167">
        <f>+(D59/60)*3*(C59-8)/8+(D59*3/60)</f>
        <v>0</v>
      </c>
      <c r="H59" s="106">
        <f>+E59+F59+G59</f>
        <v>0</v>
      </c>
      <c r="I59" s="74"/>
      <c r="J59" s="116"/>
    </row>
    <row r="60" spans="1:10" ht="17.25" customHeight="1">
      <c r="A60" s="19"/>
      <c r="B60" s="72" t="s">
        <v>266</v>
      </c>
      <c r="C60" s="545">
        <v>0</v>
      </c>
      <c r="D60" s="546">
        <v>0</v>
      </c>
      <c r="E60" s="163">
        <f t="shared" si="9"/>
        <v>0</v>
      </c>
      <c r="F60" s="164">
        <f t="shared" si="10"/>
        <v>0</v>
      </c>
      <c r="G60" s="167">
        <f>+(D60/60)*3*(C60-8)/8+(D60*3/60)</f>
        <v>0</v>
      </c>
      <c r="H60" s="106">
        <f>+E60+F60+G60</f>
        <v>0</v>
      </c>
      <c r="I60" s="74"/>
      <c r="J60" s="116"/>
    </row>
    <row r="61" spans="1:10" ht="17.25" customHeight="1">
      <c r="A61" s="19"/>
      <c r="B61" s="72" t="s">
        <v>267</v>
      </c>
      <c r="C61" s="545">
        <v>0</v>
      </c>
      <c r="D61" s="546">
        <v>0</v>
      </c>
      <c r="E61" s="163">
        <f t="shared" si="9"/>
        <v>0</v>
      </c>
      <c r="F61" s="164">
        <f t="shared" si="10"/>
        <v>0</v>
      </c>
      <c r="G61" s="167">
        <f t="shared" si="11"/>
        <v>0</v>
      </c>
      <c r="H61" s="106">
        <f t="shared" si="12"/>
        <v>0</v>
      </c>
      <c r="I61" s="74"/>
      <c r="J61" s="116"/>
    </row>
    <row r="62" spans="1:10" ht="17.25" customHeight="1">
      <c r="A62" s="653" t="s">
        <v>32</v>
      </c>
      <c r="B62" s="654" t="s">
        <v>277</v>
      </c>
      <c r="C62" s="545">
        <v>0</v>
      </c>
      <c r="D62" s="546">
        <v>0</v>
      </c>
      <c r="E62" s="163">
        <v>0</v>
      </c>
      <c r="F62" s="164">
        <v>0</v>
      </c>
      <c r="G62" s="167">
        <f>+(D62/60)*3*(C62-8)/8+(D62*3/60)</f>
        <v>0</v>
      </c>
      <c r="H62" s="106">
        <f>+E62+F62+G62</f>
        <v>0</v>
      </c>
      <c r="I62" s="726" t="s">
        <v>311</v>
      </c>
      <c r="J62" s="116"/>
    </row>
    <row r="63" spans="1:10" ht="17.25" customHeight="1">
      <c r="A63" s="653" t="s">
        <v>32</v>
      </c>
      <c r="B63" s="654" t="s">
        <v>278</v>
      </c>
      <c r="C63" s="545">
        <v>0</v>
      </c>
      <c r="D63" s="546">
        <v>0</v>
      </c>
      <c r="E63" s="163">
        <v>0</v>
      </c>
      <c r="F63" s="164">
        <v>0</v>
      </c>
      <c r="G63" s="167">
        <f>+(D63/60)*3*(C63-8)/8+(D63*3/60)</f>
        <v>0</v>
      </c>
      <c r="H63" s="106">
        <f>+E63+F63+G63</f>
        <v>0</v>
      </c>
      <c r="I63" s="727" t="s">
        <v>65</v>
      </c>
      <c r="J63" s="116"/>
    </row>
    <row r="64" spans="1:10" ht="17.25" customHeight="1">
      <c r="A64" s="653" t="s">
        <v>32</v>
      </c>
      <c r="B64" s="654" t="s">
        <v>279</v>
      </c>
      <c r="C64" s="545">
        <v>0</v>
      </c>
      <c r="D64" s="546">
        <v>0</v>
      </c>
      <c r="E64" s="163">
        <v>0</v>
      </c>
      <c r="F64" s="164">
        <v>0</v>
      </c>
      <c r="G64" s="167">
        <f t="shared" si="11"/>
        <v>0</v>
      </c>
      <c r="H64" s="106">
        <f t="shared" si="12"/>
        <v>0</v>
      </c>
      <c r="I64" s="90"/>
      <c r="J64" s="116"/>
    </row>
    <row r="65" spans="1:10" ht="17.25" customHeight="1">
      <c r="A65" s="653" t="s">
        <v>32</v>
      </c>
      <c r="B65" s="654" t="s">
        <v>280</v>
      </c>
      <c r="C65" s="545">
        <v>0</v>
      </c>
      <c r="D65" s="546">
        <v>0</v>
      </c>
      <c r="E65" s="163">
        <v>0</v>
      </c>
      <c r="F65" s="164">
        <v>0</v>
      </c>
      <c r="G65" s="167">
        <f t="shared" si="11"/>
        <v>0</v>
      </c>
      <c r="H65" s="106">
        <f t="shared" si="12"/>
        <v>0</v>
      </c>
      <c r="I65" s="90"/>
      <c r="J65" s="116"/>
    </row>
    <row r="66" spans="1:10" ht="17.25" customHeight="1">
      <c r="A66" s="655" t="s">
        <v>32</v>
      </c>
      <c r="B66" s="656" t="s">
        <v>281</v>
      </c>
      <c r="C66" s="547">
        <v>0</v>
      </c>
      <c r="D66" s="467">
        <v>0</v>
      </c>
      <c r="E66" s="168">
        <v>0</v>
      </c>
      <c r="F66" s="174">
        <v>0</v>
      </c>
      <c r="G66" s="169">
        <f t="shared" si="11"/>
        <v>0</v>
      </c>
      <c r="H66" s="505">
        <f t="shared" si="12"/>
        <v>0</v>
      </c>
      <c r="I66" s="506"/>
      <c r="J66" s="115"/>
    </row>
    <row r="67" spans="1:10" ht="18" customHeight="1">
      <c r="A67" s="88">
        <v>2</v>
      </c>
      <c r="B67" s="223" t="s">
        <v>60</v>
      </c>
      <c r="C67" s="225"/>
      <c r="D67" s="226"/>
      <c r="E67" s="227"/>
      <c r="F67" s="228"/>
      <c r="G67" s="220"/>
      <c r="H67" s="108"/>
      <c r="I67" s="90"/>
      <c r="J67" s="115"/>
    </row>
    <row r="68" spans="1:10" ht="13.5" customHeight="1">
      <c r="A68" s="88"/>
      <c r="B68" s="223"/>
      <c r="C68" s="589" t="s">
        <v>48</v>
      </c>
      <c r="D68" s="590" t="s">
        <v>49</v>
      </c>
      <c r="E68" s="218"/>
      <c r="F68" s="214"/>
      <c r="G68" s="214"/>
      <c r="H68" s="108"/>
      <c r="I68" s="90"/>
      <c r="J68" s="115"/>
    </row>
    <row r="69" spans="1:10" ht="18" customHeight="1">
      <c r="A69" s="12"/>
      <c r="B69" s="591" t="s">
        <v>224</v>
      </c>
      <c r="C69" s="592">
        <v>0</v>
      </c>
      <c r="D69" s="593">
        <v>0</v>
      </c>
      <c r="E69" s="594" t="s">
        <v>2</v>
      </c>
      <c r="F69" s="595" t="s">
        <v>2</v>
      </c>
      <c r="G69" s="595" t="s">
        <v>2</v>
      </c>
      <c r="H69" s="596">
        <f>+C69*D69*0.25</f>
        <v>0</v>
      </c>
      <c r="I69" s="728"/>
      <c r="J69" s="115"/>
    </row>
    <row r="70" spans="1:10" ht="18.75" customHeight="1">
      <c r="A70" s="11"/>
      <c r="B70" s="597" t="s">
        <v>225</v>
      </c>
      <c r="C70" s="598">
        <v>0</v>
      </c>
      <c r="D70" s="599">
        <v>0</v>
      </c>
      <c r="E70" s="600" t="s">
        <v>2</v>
      </c>
      <c r="F70" s="601" t="s">
        <v>2</v>
      </c>
      <c r="G70" s="601" t="s">
        <v>2</v>
      </c>
      <c r="H70" s="602">
        <f>+C70*D70*0.25</f>
        <v>0</v>
      </c>
      <c r="I70" s="506"/>
      <c r="J70" s="115"/>
    </row>
    <row r="71" spans="1:10" ht="18" customHeight="1">
      <c r="A71" s="22"/>
      <c r="B71" s="49" t="s">
        <v>300</v>
      </c>
      <c r="C71" s="209"/>
      <c r="D71" s="209"/>
      <c r="E71" s="209"/>
      <c r="F71" s="209"/>
      <c r="G71" s="209"/>
      <c r="H71" s="109">
        <f>SUM(H11:H70)</f>
        <v>0</v>
      </c>
      <c r="I71" s="76" t="s">
        <v>15</v>
      </c>
      <c r="J71" s="117"/>
    </row>
    <row r="72" spans="1:10" ht="18" customHeight="1">
      <c r="A72" s="22"/>
      <c r="B72" s="509" t="s">
        <v>302</v>
      </c>
      <c r="C72" s="699">
        <f>(SUM(D11:D25)+SUM(D45:D49))/15</f>
        <v>0</v>
      </c>
      <c r="D72" s="699">
        <f>SUM(D28:D43)/30</f>
        <v>0</v>
      </c>
      <c r="E72" s="699">
        <f>SUM(D55:D61)/30</f>
        <v>0</v>
      </c>
      <c r="F72" s="700" t="s">
        <v>301</v>
      </c>
      <c r="G72" s="703">
        <f>C72+D72+E72</f>
        <v>0</v>
      </c>
      <c r="H72" s="701"/>
      <c r="I72" s="702"/>
      <c r="J72" s="116"/>
    </row>
    <row r="73" spans="1:15" ht="4.5" customHeight="1">
      <c r="A73" s="139"/>
      <c r="B73" s="140"/>
      <c r="C73" s="141"/>
      <c r="D73" s="142"/>
      <c r="E73" s="143"/>
      <c r="F73" s="143"/>
      <c r="G73" s="143"/>
      <c r="H73" s="144"/>
      <c r="I73" s="145"/>
      <c r="J73" s="146"/>
      <c r="K73" s="10"/>
      <c r="L73" s="10"/>
      <c r="M73" s="10"/>
      <c r="N73" s="10"/>
      <c r="O73" s="10"/>
    </row>
    <row r="74" spans="1:10" ht="19.5" customHeight="1">
      <c r="A74" s="122"/>
      <c r="B74" s="123" t="s">
        <v>0</v>
      </c>
      <c r="C74" s="124" t="s">
        <v>9</v>
      </c>
      <c r="D74" s="125" t="s">
        <v>33</v>
      </c>
      <c r="E74" s="1037" t="s">
        <v>5</v>
      </c>
      <c r="F74" s="1037"/>
      <c r="G74" s="1037"/>
      <c r="H74" s="126" t="s">
        <v>3</v>
      </c>
      <c r="I74" s="150" t="s">
        <v>288</v>
      </c>
      <c r="J74" s="116"/>
    </row>
    <row r="75" spans="1:10" ht="15.75" customHeight="1">
      <c r="A75" s="127"/>
      <c r="B75" s="128"/>
      <c r="C75" s="129"/>
      <c r="D75" s="129" t="s">
        <v>7</v>
      </c>
      <c r="E75" s="130" t="s">
        <v>6</v>
      </c>
      <c r="F75" s="131" t="s">
        <v>7</v>
      </c>
      <c r="G75" s="132" t="s">
        <v>8</v>
      </c>
      <c r="H75" s="133"/>
      <c r="I75" s="121"/>
      <c r="J75" s="116"/>
    </row>
    <row r="76" spans="1:10" ht="18" customHeight="1">
      <c r="A76" s="134">
        <v>1.2</v>
      </c>
      <c r="B76" s="135" t="s">
        <v>46</v>
      </c>
      <c r="C76" s="119"/>
      <c r="D76" s="119"/>
      <c r="E76" s="120"/>
      <c r="F76" s="120"/>
      <c r="G76" s="120"/>
      <c r="H76" s="100"/>
      <c r="I76" s="136"/>
      <c r="J76" s="116"/>
    </row>
    <row r="77" spans="1:10" ht="19.5" customHeight="1">
      <c r="A77" s="633" t="s">
        <v>68</v>
      </c>
      <c r="B77" s="137" t="s">
        <v>361</v>
      </c>
      <c r="C77" s="119"/>
      <c r="D77" s="119"/>
      <c r="E77" s="120"/>
      <c r="F77" s="120"/>
      <c r="G77" s="120"/>
      <c r="H77" s="100"/>
      <c r="I77" s="121"/>
      <c r="J77" s="116"/>
    </row>
    <row r="78" spans="1:10" ht="17.25" customHeight="1">
      <c r="A78" s="24"/>
      <c r="B78" s="477" t="s">
        <v>246</v>
      </c>
      <c r="C78" s="519">
        <v>0</v>
      </c>
      <c r="D78" s="520">
        <v>0</v>
      </c>
      <c r="E78" s="677">
        <f>IF(C78&gt;20,(2*D78/15),(C78*(2/20)*D78/15))</f>
        <v>0</v>
      </c>
      <c r="F78" s="678">
        <f aca="true" t="shared" si="13" ref="F78:F84">+D78*1/15</f>
        <v>0</v>
      </c>
      <c r="G78" s="679">
        <f>+(D78/15)*1*(C78-20)/20+(D78*1/15)</f>
        <v>0</v>
      </c>
      <c r="H78" s="524">
        <f aca="true" t="shared" si="14" ref="H78:H84">+E78+F78+G78</f>
        <v>0</v>
      </c>
      <c r="I78" s="729" t="s">
        <v>403</v>
      </c>
      <c r="J78" s="116"/>
    </row>
    <row r="79" spans="1:10" ht="17.25" customHeight="1">
      <c r="A79" s="24"/>
      <c r="B79" s="477" t="s">
        <v>157</v>
      </c>
      <c r="C79" s="525">
        <v>0</v>
      </c>
      <c r="D79" s="526">
        <v>0</v>
      </c>
      <c r="E79" s="677">
        <f>IF(C79&gt;20,(2*D79/15),(C79*(2/20)*D79/15))</f>
        <v>0</v>
      </c>
      <c r="F79" s="678">
        <f t="shared" si="13"/>
        <v>0</v>
      </c>
      <c r="G79" s="679">
        <f>+(D79/15)*1*(C79-20)/20+(D79*1/15)</f>
        <v>0</v>
      </c>
      <c r="H79" s="524">
        <f t="shared" si="14"/>
        <v>0</v>
      </c>
      <c r="I79" s="476"/>
      <c r="J79" s="116"/>
    </row>
    <row r="80" spans="1:10" s="10" customFormat="1" ht="14.25" customHeight="1">
      <c r="A80" s="19"/>
      <c r="B80" s="477" t="s">
        <v>158</v>
      </c>
      <c r="C80" s="525">
        <v>0</v>
      </c>
      <c r="D80" s="526">
        <v>0</v>
      </c>
      <c r="E80" s="521">
        <f>IF(C80&gt;20,(2*D80/15),(C80*(2/20)*D80/15))</f>
        <v>0</v>
      </c>
      <c r="F80" s="522">
        <f t="shared" si="13"/>
        <v>0</v>
      </c>
      <c r="G80" s="523">
        <f>+(D80/15)*1*(C80-20)/20+(D80*1/15)</f>
        <v>0</v>
      </c>
      <c r="H80" s="524">
        <f t="shared" si="14"/>
        <v>0</v>
      </c>
      <c r="I80" s="987"/>
      <c r="J80" s="988"/>
    </row>
    <row r="81" spans="1:10" ht="14.25" customHeight="1">
      <c r="A81" s="19"/>
      <c r="B81" s="479" t="s">
        <v>159</v>
      </c>
      <c r="C81" s="535">
        <v>0</v>
      </c>
      <c r="D81" s="536">
        <v>0</v>
      </c>
      <c r="E81" s="528">
        <f>IF(C81&gt;15,(2*D81/15),(C81*(2/15)*D81/15))</f>
        <v>0</v>
      </c>
      <c r="F81" s="529">
        <f t="shared" si="13"/>
        <v>0</v>
      </c>
      <c r="G81" s="530">
        <f>+(D81/15)*1*(C81-15)/15+(D81*1/15)</f>
        <v>0</v>
      </c>
      <c r="H81" s="531">
        <f t="shared" si="14"/>
        <v>0</v>
      </c>
      <c r="I81" s="730" t="s">
        <v>404</v>
      </c>
      <c r="J81" s="116"/>
    </row>
    <row r="82" spans="1:10" ht="17.25" customHeight="1">
      <c r="A82" s="19"/>
      <c r="B82" s="479" t="s">
        <v>160</v>
      </c>
      <c r="C82" s="517">
        <v>0</v>
      </c>
      <c r="D82" s="518">
        <v>0</v>
      </c>
      <c r="E82" s="528">
        <f>IF(C82&gt;15,(2*D82/15),(C82*(2/15)*D82/15))</f>
        <v>0</v>
      </c>
      <c r="F82" s="529">
        <f t="shared" si="13"/>
        <v>0</v>
      </c>
      <c r="G82" s="530">
        <f>+(D82/15)*1*(C82-15)/15+(D82*1/15)</f>
        <v>0</v>
      </c>
      <c r="H82" s="531">
        <f t="shared" si="14"/>
        <v>0</v>
      </c>
      <c r="I82" s="476"/>
      <c r="J82" s="116"/>
    </row>
    <row r="83" spans="1:10" ht="17.25" customHeight="1">
      <c r="A83" s="19"/>
      <c r="B83" s="479" t="s">
        <v>161</v>
      </c>
      <c r="C83" s="517">
        <v>0</v>
      </c>
      <c r="D83" s="518">
        <v>0</v>
      </c>
      <c r="E83" s="528">
        <f>IF(C83&gt;15,(2*D83/15),(C83*(2/15)*D83/15))</f>
        <v>0</v>
      </c>
      <c r="F83" s="529">
        <f t="shared" si="13"/>
        <v>0</v>
      </c>
      <c r="G83" s="530">
        <f>+(D83/15)*1*(C83-15)/15+(D83*1/15)</f>
        <v>0</v>
      </c>
      <c r="H83" s="531">
        <f t="shared" si="14"/>
        <v>0</v>
      </c>
      <c r="I83" s="476"/>
      <c r="J83" s="116"/>
    </row>
    <row r="84" spans="1:11" ht="17.25" customHeight="1">
      <c r="A84" s="20"/>
      <c r="B84" s="490" t="s">
        <v>162</v>
      </c>
      <c r="C84" s="95">
        <v>0</v>
      </c>
      <c r="D84" s="96">
        <v>0</v>
      </c>
      <c r="E84" s="680">
        <f>IF(C84&gt;15,(2*D84/15),(C84*(2/15)*D84/15))</f>
        <v>0</v>
      </c>
      <c r="F84" s="681">
        <f t="shared" si="13"/>
        <v>0</v>
      </c>
      <c r="G84" s="682">
        <f>+(D84/15)*1*(C84-15)/15+(D84*1/15)</f>
        <v>0</v>
      </c>
      <c r="H84" s="966">
        <f t="shared" si="14"/>
        <v>0</v>
      </c>
      <c r="I84" s="967"/>
      <c r="J84" s="491"/>
      <c r="K84" s="13"/>
    </row>
    <row r="85" spans="1:11" ht="17.25" customHeight="1">
      <c r="A85" s="19"/>
      <c r="B85" s="21" t="s">
        <v>282</v>
      </c>
      <c r="C85" s="60"/>
      <c r="D85" s="60"/>
      <c r="E85" s="56"/>
      <c r="F85" s="57"/>
      <c r="G85" s="56"/>
      <c r="H85" s="676"/>
      <c r="I85" s="74"/>
      <c r="J85" s="116"/>
      <c r="K85" s="357"/>
    </row>
    <row r="86" spans="1:11" ht="17.25" customHeight="1">
      <c r="A86" s="19"/>
      <c r="B86" s="69" t="s">
        <v>362</v>
      </c>
      <c r="C86" s="549">
        <v>0</v>
      </c>
      <c r="D86" s="550">
        <v>0</v>
      </c>
      <c r="E86" s="163">
        <f>IF(C86&gt;10,(2*D86/30),(C86*(2/10)*D86/30))</f>
        <v>0</v>
      </c>
      <c r="F86" s="164">
        <f>+D86*3/30</f>
        <v>0</v>
      </c>
      <c r="G86" s="167">
        <f>+(D86/30)*1*(C86-10)/10+(D86*1/30)</f>
        <v>0</v>
      </c>
      <c r="H86" s="106">
        <f>+E86+F86+G86</f>
        <v>0</v>
      </c>
      <c r="I86" s="476"/>
      <c r="J86" s="116"/>
      <c r="K86" s="964"/>
    </row>
    <row r="87" spans="1:11" ht="17.25" customHeight="1">
      <c r="A87" s="19"/>
      <c r="B87" s="69" t="s">
        <v>363</v>
      </c>
      <c r="C87" s="551">
        <v>0</v>
      </c>
      <c r="D87" s="552">
        <v>0</v>
      </c>
      <c r="E87" s="163">
        <f>IF(C87&gt;10,(2*D87/30),(C87*(2/10)*D87/30))</f>
        <v>0</v>
      </c>
      <c r="F87" s="164">
        <f>+D87*3/30</f>
        <v>0</v>
      </c>
      <c r="G87" s="167">
        <f>+(D87/30)*1*(C87-10)/10+(D87*1/30)</f>
        <v>0</v>
      </c>
      <c r="H87" s="106">
        <f>+E87+F87+G87</f>
        <v>0</v>
      </c>
      <c r="I87" s="476"/>
      <c r="J87" s="116"/>
      <c r="K87" s="965"/>
    </row>
    <row r="88" spans="1:11" ht="17.25" customHeight="1">
      <c r="A88" s="19"/>
      <c r="B88" s="70" t="s">
        <v>364</v>
      </c>
      <c r="C88" s="95">
        <v>0</v>
      </c>
      <c r="D88" s="96">
        <v>0</v>
      </c>
      <c r="E88" s="163">
        <f>IF(C88&gt;10,(2*D88/30),(C88*(2/10)*D88/30))</f>
        <v>0</v>
      </c>
      <c r="F88" s="164">
        <f>+D88*3/30</f>
        <v>0</v>
      </c>
      <c r="G88" s="167">
        <f>+(D88/30)*1*(C88-10)/10+(D88*1/30)</f>
        <v>0</v>
      </c>
      <c r="H88" s="968">
        <f>+E88+F88+G88</f>
        <v>0</v>
      </c>
      <c r="I88" s="967"/>
      <c r="J88" s="491"/>
      <c r="K88" s="732"/>
    </row>
    <row r="89" spans="1:10" ht="19.5" customHeight="1">
      <c r="A89" s="19"/>
      <c r="B89" s="118" t="s">
        <v>66</v>
      </c>
      <c r="C89" s="119"/>
      <c r="D89" s="119"/>
      <c r="E89" s="120"/>
      <c r="F89" s="103"/>
      <c r="G89" s="120"/>
      <c r="H89" s="108"/>
      <c r="I89" s="121"/>
      <c r="J89" s="116"/>
    </row>
    <row r="90" spans="1:10" ht="16.5" customHeight="1">
      <c r="A90" s="25"/>
      <c r="B90" s="73" t="s">
        <v>204</v>
      </c>
      <c r="C90" s="519">
        <v>0</v>
      </c>
      <c r="D90" s="520">
        <v>0</v>
      </c>
      <c r="E90" s="521">
        <f>IF(C90&gt;5,(4*D90/15),(C90*(4/5)*D90/15))</f>
        <v>0</v>
      </c>
      <c r="F90" s="522">
        <f>+D90*1/15</f>
        <v>0</v>
      </c>
      <c r="G90" s="523">
        <f>+(D90/15)*1*(C90-5)/5+(D90*1/15)</f>
        <v>0</v>
      </c>
      <c r="H90" s="524">
        <f>+E90+F90+G90</f>
        <v>0</v>
      </c>
      <c r="I90" s="733"/>
      <c r="J90" s="116"/>
    </row>
    <row r="91" spans="1:10" ht="16.5" customHeight="1">
      <c r="A91" s="19"/>
      <c r="B91" s="69" t="s">
        <v>203</v>
      </c>
      <c r="C91" s="525">
        <v>0</v>
      </c>
      <c r="D91" s="526">
        <v>0</v>
      </c>
      <c r="E91" s="521">
        <f aca="true" t="shared" si="15" ref="E91:E96">IF(C91&gt;5,(4*D91/15),(C91*(4/5)*D91/15))</f>
        <v>0</v>
      </c>
      <c r="F91" s="522">
        <f aca="true" t="shared" si="16" ref="F91:F96">+D91*1/15</f>
        <v>0</v>
      </c>
      <c r="G91" s="523">
        <f aca="true" t="shared" si="17" ref="G91:G96">+(D91/15)*1*(C91-5)/5+(D91*1/15)</f>
        <v>0</v>
      </c>
      <c r="H91" s="527">
        <f aca="true" t="shared" si="18" ref="H91:H96">+E91+F91+G91</f>
        <v>0</v>
      </c>
      <c r="I91" s="480"/>
      <c r="J91" s="116"/>
    </row>
    <row r="92" spans="1:10" ht="16.5" customHeight="1">
      <c r="A92" s="19"/>
      <c r="B92" s="69" t="s">
        <v>205</v>
      </c>
      <c r="C92" s="525">
        <v>0</v>
      </c>
      <c r="D92" s="526">
        <v>0</v>
      </c>
      <c r="E92" s="521">
        <f t="shared" si="15"/>
        <v>0</v>
      </c>
      <c r="F92" s="522">
        <f t="shared" si="16"/>
        <v>0</v>
      </c>
      <c r="G92" s="523">
        <f t="shared" si="17"/>
        <v>0</v>
      </c>
      <c r="H92" s="527">
        <f t="shared" si="18"/>
        <v>0</v>
      </c>
      <c r="I92" s="480"/>
      <c r="J92" s="116"/>
    </row>
    <row r="93" spans="1:10" ht="16.5" customHeight="1">
      <c r="A93" s="19"/>
      <c r="B93" s="69" t="s">
        <v>365</v>
      </c>
      <c r="C93" s="515">
        <v>0</v>
      </c>
      <c r="D93" s="516">
        <v>0</v>
      </c>
      <c r="E93" s="521">
        <f t="shared" si="15"/>
        <v>0</v>
      </c>
      <c r="F93" s="522">
        <f t="shared" si="16"/>
        <v>0</v>
      </c>
      <c r="G93" s="523">
        <f t="shared" si="17"/>
        <v>0</v>
      </c>
      <c r="H93" s="531">
        <f t="shared" si="18"/>
        <v>0</v>
      </c>
      <c r="I93" s="730"/>
      <c r="J93" s="116"/>
    </row>
    <row r="94" spans="1:10" ht="16.5" customHeight="1">
      <c r="A94" s="19"/>
      <c r="B94" s="69" t="s">
        <v>366</v>
      </c>
      <c r="C94" s="517">
        <v>0</v>
      </c>
      <c r="D94" s="518">
        <v>0</v>
      </c>
      <c r="E94" s="521">
        <f t="shared" si="15"/>
        <v>0</v>
      </c>
      <c r="F94" s="522">
        <f t="shared" si="16"/>
        <v>0</v>
      </c>
      <c r="G94" s="523">
        <f t="shared" si="17"/>
        <v>0</v>
      </c>
      <c r="H94" s="532">
        <f t="shared" si="18"/>
        <v>0</v>
      </c>
      <c r="I94" s="480"/>
      <c r="J94" s="116"/>
    </row>
    <row r="95" spans="1:10" ht="16.5" customHeight="1">
      <c r="A95" s="19"/>
      <c r="B95" s="69" t="s">
        <v>367</v>
      </c>
      <c r="C95" s="517">
        <v>0</v>
      </c>
      <c r="D95" s="518">
        <v>0</v>
      </c>
      <c r="E95" s="521">
        <f t="shared" si="15"/>
        <v>0</v>
      </c>
      <c r="F95" s="522">
        <f t="shared" si="16"/>
        <v>0</v>
      </c>
      <c r="G95" s="523">
        <f t="shared" si="17"/>
        <v>0</v>
      </c>
      <c r="H95" s="532">
        <f t="shared" si="18"/>
        <v>0</v>
      </c>
      <c r="I95" s="480"/>
      <c r="J95" s="116"/>
    </row>
    <row r="96" spans="1:10" ht="16.5" customHeight="1">
      <c r="A96" s="19"/>
      <c r="B96" s="70" t="s">
        <v>368</v>
      </c>
      <c r="C96" s="95">
        <v>0</v>
      </c>
      <c r="D96" s="96">
        <v>0</v>
      </c>
      <c r="E96" s="980">
        <f t="shared" si="15"/>
        <v>0</v>
      </c>
      <c r="F96" s="981">
        <f t="shared" si="16"/>
        <v>0</v>
      </c>
      <c r="G96" s="982">
        <f t="shared" si="17"/>
        <v>0</v>
      </c>
      <c r="H96" s="505">
        <f t="shared" si="18"/>
        <v>0</v>
      </c>
      <c r="I96" s="482"/>
      <c r="J96" s="113"/>
    </row>
    <row r="97" spans="1:10" ht="5.25" customHeight="1">
      <c r="A97" s="20"/>
      <c r="B97" s="686" t="s">
        <v>3</v>
      </c>
      <c r="C97" s="95"/>
      <c r="D97" s="96"/>
      <c r="E97" s="657"/>
      <c r="F97" s="657"/>
      <c r="G97" s="657"/>
      <c r="H97" s="685"/>
      <c r="I97" s="482"/>
      <c r="J97" s="116"/>
    </row>
    <row r="98" spans="1:10" s="6" customFormat="1" ht="6" customHeight="1">
      <c r="A98" s="659"/>
      <c r="B98" s="660"/>
      <c r="C98" s="661"/>
      <c r="D98" s="662"/>
      <c r="E98" s="663"/>
      <c r="F98" s="663"/>
      <c r="G98" s="663"/>
      <c r="H98" s="664"/>
      <c r="I98" s="969"/>
      <c r="J98" s="115"/>
    </row>
    <row r="99" spans="1:10" ht="16.5" customHeight="1">
      <c r="A99" s="122"/>
      <c r="B99" s="123" t="s">
        <v>0</v>
      </c>
      <c r="C99" s="124" t="s">
        <v>9</v>
      </c>
      <c r="D99" s="125" t="s">
        <v>33</v>
      </c>
      <c r="E99" s="1038" t="s">
        <v>5</v>
      </c>
      <c r="F99" s="1039"/>
      <c r="G99" s="1040"/>
      <c r="H99" s="126" t="s">
        <v>3</v>
      </c>
      <c r="I99" s="963" t="s">
        <v>388</v>
      </c>
      <c r="J99" s="491"/>
    </row>
    <row r="100" spans="1:10" ht="19.5" customHeight="1">
      <c r="A100" s="127"/>
      <c r="B100" s="128"/>
      <c r="C100" s="129"/>
      <c r="D100" s="129" t="s">
        <v>7</v>
      </c>
      <c r="E100" s="130" t="s">
        <v>6</v>
      </c>
      <c r="F100" s="131" t="s">
        <v>7</v>
      </c>
      <c r="G100" s="132" t="s">
        <v>8</v>
      </c>
      <c r="H100" s="133"/>
      <c r="I100" s="970"/>
      <c r="J100" s="491"/>
    </row>
    <row r="101" spans="1:10" ht="19.5" customHeight="1">
      <c r="A101" s="122"/>
      <c r="B101" s="21" t="s">
        <v>442</v>
      </c>
      <c r="C101" s="704"/>
      <c r="D101" s="124"/>
      <c r="E101" s="705"/>
      <c r="F101" s="705"/>
      <c r="G101" s="706"/>
      <c r="H101" s="707"/>
      <c r="I101" s="74"/>
      <c r="J101" s="491"/>
    </row>
    <row r="102" spans="1:10" ht="17.25" customHeight="1">
      <c r="A102" s="19"/>
      <c r="B102" s="21" t="s">
        <v>303</v>
      </c>
      <c r="C102" s="62"/>
      <c r="D102" s="61"/>
      <c r="E102" s="59"/>
      <c r="F102" s="59"/>
      <c r="G102" s="56"/>
      <c r="H102" s="108"/>
      <c r="I102" s="74"/>
      <c r="J102" s="491"/>
    </row>
    <row r="103" spans="1:10" ht="17.25" customHeight="1">
      <c r="A103" s="19"/>
      <c r="B103" s="69" t="s">
        <v>52</v>
      </c>
      <c r="C103" s="1012">
        <v>0</v>
      </c>
      <c r="D103" s="1013">
        <v>0</v>
      </c>
      <c r="E103" s="888">
        <f>IF(C103&gt;5,(2*D103/45),(C103*(2/5)*D103/45))</f>
        <v>0</v>
      </c>
      <c r="F103" s="1014">
        <f>+D103*4/45</f>
        <v>0</v>
      </c>
      <c r="G103" s="888">
        <f>+(D103/45)*3*(C103-5)/5+(D103*3/45)</f>
        <v>0</v>
      </c>
      <c r="H103" s="1022">
        <f>+E103+F103+G103</f>
        <v>0</v>
      </c>
      <c r="I103" s="472"/>
      <c r="J103" s="491"/>
    </row>
    <row r="104" spans="1:10" ht="17.25" customHeight="1">
      <c r="A104" s="19"/>
      <c r="B104" s="1018" t="s">
        <v>40</v>
      </c>
      <c r="C104" s="550">
        <v>0</v>
      </c>
      <c r="D104" s="550">
        <v>0</v>
      </c>
      <c r="E104" s="163">
        <f>IF(C104&gt;5,(2*D104/45),(C104*(2/5)*D104/45))</f>
        <v>0</v>
      </c>
      <c r="F104" s="166">
        <f>+D104*4/45</f>
        <v>0</v>
      </c>
      <c r="G104" s="167">
        <f>+(D104/45)*3*(C104-5)/5+(D104*3/45)</f>
        <v>0</v>
      </c>
      <c r="H104" s="147">
        <f>+E104+F104+G104</f>
        <v>0</v>
      </c>
      <c r="I104" s="471"/>
      <c r="J104" s="491"/>
    </row>
    <row r="105" spans="1:10" ht="17.25" customHeight="1">
      <c r="A105" s="19"/>
      <c r="B105" s="72" t="s">
        <v>408</v>
      </c>
      <c r="C105" s="1013">
        <v>0</v>
      </c>
      <c r="D105" s="1011">
        <v>0</v>
      </c>
      <c r="E105" s="1014">
        <f>IF(C105&gt;5,(2*D105/60),(C105*(2/5)*D105/60))</f>
        <v>0</v>
      </c>
      <c r="F105" s="888">
        <f>+D105*4/60</f>
        <v>0</v>
      </c>
      <c r="G105" s="1014">
        <f>+(D105/60)*3*(C105-5)/5+(D105*3/60)</f>
        <v>0</v>
      </c>
      <c r="H105" s="889">
        <f>+E105+F105+G105</f>
        <v>0</v>
      </c>
      <c r="I105" s="75" t="s">
        <v>412</v>
      </c>
      <c r="J105" s="491"/>
    </row>
    <row r="106" spans="1:10" ht="17.25" customHeight="1">
      <c r="A106" s="20"/>
      <c r="B106" s="1016" t="s">
        <v>409</v>
      </c>
      <c r="C106" s="96">
        <v>0</v>
      </c>
      <c r="D106" s="1003">
        <v>0</v>
      </c>
      <c r="E106" s="1017">
        <f>IF(C106&gt;5,(2*D106/60),(C106*(2/5)*D106/60))</f>
        <v>0</v>
      </c>
      <c r="F106" s="657">
        <f>+D106*4/60</f>
        <v>0</v>
      </c>
      <c r="G106" s="1017">
        <f>+(D106/60)*3*(C106-5)/5+(D106*3/60)</f>
        <v>0</v>
      </c>
      <c r="H106" s="877">
        <f>+E106+F106+G106</f>
        <v>0</v>
      </c>
      <c r="I106" s="93" t="s">
        <v>413</v>
      </c>
      <c r="J106" s="491"/>
    </row>
    <row r="107" spans="1:10" ht="17.25" customHeight="1">
      <c r="A107" s="208"/>
      <c r="B107" s="1008" t="s">
        <v>304</v>
      </c>
      <c r="C107" s="1015"/>
      <c r="D107" s="1009"/>
      <c r="E107" s="666"/>
      <c r="F107" s="666"/>
      <c r="G107" s="666"/>
      <c r="H107" s="1010">
        <f>SUM(H78:H105)</f>
        <v>0</v>
      </c>
      <c r="I107" s="667"/>
      <c r="J107" s="491"/>
    </row>
    <row r="108" spans="1:10" ht="17.25" customHeight="1">
      <c r="A108" s="20"/>
      <c r="B108" s="513" t="s">
        <v>312</v>
      </c>
      <c r="C108" s="1025">
        <f>(SUM(D78:D84)+SUM(D90:D96))/15</f>
        <v>0</v>
      </c>
      <c r="D108" s="1025">
        <f>(SUM(D86:D88))/30</f>
        <v>0</v>
      </c>
      <c r="E108" s="1025">
        <f>((D103+D104)*2/45)+((D105+D106)/30)</f>
        <v>0</v>
      </c>
      <c r="F108" s="1026" t="s">
        <v>305</v>
      </c>
      <c r="G108" s="1027">
        <f>C108+D108+E108</f>
        <v>0</v>
      </c>
      <c r="H108" s="666"/>
      <c r="I108" s="667"/>
      <c r="J108" s="491"/>
    </row>
    <row r="109" spans="1:10" ht="19.5" customHeight="1">
      <c r="A109" s="122"/>
      <c r="B109" s="123" t="s">
        <v>0</v>
      </c>
      <c r="C109" s="124" t="s">
        <v>9</v>
      </c>
      <c r="D109" s="125" t="s">
        <v>33</v>
      </c>
      <c r="E109" s="1041" t="s">
        <v>5</v>
      </c>
      <c r="F109" s="1037"/>
      <c r="G109" s="1042"/>
      <c r="H109" s="637" t="s">
        <v>3</v>
      </c>
      <c r="I109" s="638" t="s">
        <v>283</v>
      </c>
      <c r="J109" s="116"/>
    </row>
    <row r="110" spans="1:10" ht="17.25" customHeight="1">
      <c r="A110" s="127"/>
      <c r="B110" s="128"/>
      <c r="C110" s="129"/>
      <c r="D110" s="129" t="s">
        <v>7</v>
      </c>
      <c r="E110" s="130" t="s">
        <v>6</v>
      </c>
      <c r="F110" s="131" t="s">
        <v>7</v>
      </c>
      <c r="G110" s="132" t="s">
        <v>8</v>
      </c>
      <c r="H110" s="133"/>
      <c r="I110" s="970"/>
      <c r="J110" s="491"/>
    </row>
    <row r="111" spans="1:15" ht="18.75">
      <c r="A111" s="12">
        <v>1.3</v>
      </c>
      <c r="B111" s="223" t="s">
        <v>61</v>
      </c>
      <c r="C111" s="224" t="s">
        <v>45</v>
      </c>
      <c r="D111" s="224" t="s">
        <v>47</v>
      </c>
      <c r="E111" s="218"/>
      <c r="F111" s="215" t="s">
        <v>71</v>
      </c>
      <c r="G111" s="219"/>
      <c r="H111" s="108"/>
      <c r="I111" s="121" t="s">
        <v>134</v>
      </c>
      <c r="J111" s="504"/>
      <c r="K111" s="13"/>
      <c r="L111" s="13"/>
      <c r="M111" s="13"/>
      <c r="N111" s="13"/>
      <c r="O111" s="13"/>
    </row>
    <row r="112" spans="1:15" ht="18.75">
      <c r="A112" s="12"/>
      <c r="B112" s="91" t="s">
        <v>198</v>
      </c>
      <c r="C112" s="97">
        <v>0</v>
      </c>
      <c r="D112" s="97">
        <v>0</v>
      </c>
      <c r="E112" s="218" t="s">
        <v>2</v>
      </c>
      <c r="F112" s="214">
        <f>C112+D112</f>
        <v>0</v>
      </c>
      <c r="G112" s="220" t="s">
        <v>2</v>
      </c>
      <c r="H112" s="108">
        <f>+(C112+D112)*0.07*1</f>
        <v>0</v>
      </c>
      <c r="I112" s="121" t="s">
        <v>135</v>
      </c>
      <c r="J112" s="504"/>
      <c r="K112" s="13"/>
      <c r="L112" s="13"/>
      <c r="M112" s="13"/>
      <c r="N112" s="13"/>
      <c r="O112" s="13"/>
    </row>
    <row r="113" spans="1:15" ht="18.75">
      <c r="A113" s="12"/>
      <c r="B113" s="91" t="s">
        <v>199</v>
      </c>
      <c r="C113" s="97">
        <v>0</v>
      </c>
      <c r="D113" s="97">
        <v>0</v>
      </c>
      <c r="E113" s="218" t="s">
        <v>2</v>
      </c>
      <c r="F113" s="214">
        <f>C113+D113</f>
        <v>0</v>
      </c>
      <c r="G113" s="220" t="s">
        <v>2</v>
      </c>
      <c r="H113" s="108">
        <f>+(C113+D113)*0.07*1</f>
        <v>0</v>
      </c>
      <c r="I113" s="222" t="s">
        <v>67</v>
      </c>
      <c r="J113" s="504"/>
      <c r="K113" s="13"/>
      <c r="L113" s="13"/>
      <c r="M113" s="13"/>
      <c r="N113" s="13"/>
      <c r="O113" s="13"/>
    </row>
    <row r="114" spans="1:15" ht="18.75">
      <c r="A114" s="12"/>
      <c r="B114" s="91" t="s">
        <v>310</v>
      </c>
      <c r="C114" s="97">
        <v>0</v>
      </c>
      <c r="D114" s="97">
        <v>0</v>
      </c>
      <c r="E114" s="218" t="s">
        <v>2</v>
      </c>
      <c r="F114" s="214">
        <f>C114+D114</f>
        <v>0</v>
      </c>
      <c r="G114" s="220" t="s">
        <v>2</v>
      </c>
      <c r="H114" s="108">
        <f>+(C114+D114)*0.07*1</f>
        <v>0</v>
      </c>
      <c r="I114" s="972"/>
      <c r="J114" s="971"/>
      <c r="K114" s="13"/>
      <c r="L114" s="13"/>
      <c r="M114" s="13"/>
      <c r="N114" s="13"/>
      <c r="O114" s="13"/>
    </row>
    <row r="115" spans="1:15" s="10" customFormat="1" ht="17.25" customHeight="1">
      <c r="A115" s="15"/>
      <c r="B115" s="998" t="s">
        <v>287</v>
      </c>
      <c r="C115" s="999"/>
      <c r="D115" s="999"/>
      <c r="E115" s="1000"/>
      <c r="F115" s="1000"/>
      <c r="G115" s="907"/>
      <c r="H115" s="1001">
        <f>SUM(H112:H114)</f>
        <v>0</v>
      </c>
      <c r="I115" s="1002"/>
      <c r="J115" s="989"/>
      <c r="K115" s="12"/>
      <c r="L115" s="12"/>
      <c r="M115" s="12"/>
      <c r="N115" s="12"/>
      <c r="O115" s="12"/>
    </row>
    <row r="116" spans="1:10" ht="21.75">
      <c r="A116" s="633" t="s">
        <v>69</v>
      </c>
      <c r="B116" s="238" t="s">
        <v>140</v>
      </c>
      <c r="C116" s="628"/>
      <c r="D116" s="628"/>
      <c r="E116" s="629"/>
      <c r="F116" s="629"/>
      <c r="G116" s="629"/>
      <c r="H116" s="268"/>
      <c r="I116" s="274"/>
      <c r="J116" s="173"/>
    </row>
    <row r="117" spans="1:10" ht="21.75">
      <c r="A117" s="633"/>
      <c r="B117" s="238" t="s">
        <v>273</v>
      </c>
      <c r="C117" s="628"/>
      <c r="D117" s="628"/>
      <c r="E117" s="629"/>
      <c r="F117" s="629"/>
      <c r="G117" s="629"/>
      <c r="H117" s="268"/>
      <c r="I117" s="274"/>
      <c r="J117" s="116"/>
    </row>
    <row r="118" spans="1:10" ht="21.75" customHeight="1">
      <c r="A118" s="24"/>
      <c r="B118" s="212" t="s">
        <v>286</v>
      </c>
      <c r="C118" s="556">
        <v>0</v>
      </c>
      <c r="D118" s="557">
        <v>0</v>
      </c>
      <c r="E118" s="558">
        <f>IF(C118&gt;2,(3*D118/15),(C118*(3/2)*D118/15))</f>
        <v>0</v>
      </c>
      <c r="F118" s="559">
        <f>+D118*1/15</f>
        <v>0</v>
      </c>
      <c r="G118" s="560">
        <f>+(D118/15)*1*(C118-2)/2+(D118*1/15)</f>
        <v>0</v>
      </c>
      <c r="H118" s="230">
        <f>(+E118+F118+G118)</f>
        <v>0</v>
      </c>
      <c r="I118" s="74" t="s">
        <v>176</v>
      </c>
      <c r="J118" s="116">
        <f>12*1.7</f>
        <v>20.4</v>
      </c>
    </row>
    <row r="119" spans="1:10" ht="21.75" customHeight="1">
      <c r="A119" s="24"/>
      <c r="B119" s="212" t="s">
        <v>153</v>
      </c>
      <c r="C119" s="561">
        <v>0</v>
      </c>
      <c r="D119" s="562">
        <v>0</v>
      </c>
      <c r="E119" s="563">
        <f>IF(C119&gt;2,(3*D119/15),(C119*(3/2)*D119/15))</f>
        <v>0</v>
      </c>
      <c r="F119" s="564">
        <f>+D119*1/15</f>
        <v>0</v>
      </c>
      <c r="G119" s="565">
        <f>+(D119/15)*1*(C119-2)/2+(D119*1/15)</f>
        <v>0</v>
      </c>
      <c r="H119" s="230">
        <f>(+E119+F119+G119)</f>
        <v>0</v>
      </c>
      <c r="I119" s="74"/>
      <c r="J119" s="115"/>
    </row>
    <row r="120" spans="1:10" s="204" customFormat="1" ht="21.75" customHeight="1">
      <c r="A120" s="19"/>
      <c r="B120" s="212" t="s">
        <v>154</v>
      </c>
      <c r="C120" s="561">
        <v>0</v>
      </c>
      <c r="D120" s="562">
        <v>0</v>
      </c>
      <c r="E120" s="563">
        <f>IF(C120&gt;2,(3*D120/15),(C120*(3/2)*D120/15))</f>
        <v>0</v>
      </c>
      <c r="F120" s="564">
        <f>+D120*1/15</f>
        <v>0</v>
      </c>
      <c r="G120" s="565">
        <f>+(D120/15)*1*(C120-2)/2+(D120*1/15)</f>
        <v>0</v>
      </c>
      <c r="H120" s="230">
        <f>(+E120+F120+G120)</f>
        <v>0</v>
      </c>
      <c r="I120" s="75"/>
      <c r="J120" s="627"/>
    </row>
    <row r="121" spans="1:10" ht="21.75">
      <c r="A121" s="622"/>
      <c r="B121" s="241" t="s">
        <v>272</v>
      </c>
      <c r="C121" s="628"/>
      <c r="D121" s="628"/>
      <c r="E121" s="629"/>
      <c r="F121" s="630"/>
      <c r="G121" s="629"/>
      <c r="H121" s="268"/>
      <c r="I121" s="263"/>
      <c r="J121" s="116"/>
    </row>
    <row r="122" spans="1:10" ht="21" customHeight="1">
      <c r="A122" s="25"/>
      <c r="B122" s="232" t="s">
        <v>72</v>
      </c>
      <c r="C122" s="556">
        <v>0</v>
      </c>
      <c r="D122" s="557">
        <v>0</v>
      </c>
      <c r="E122" s="566">
        <f>IF(C122&gt;5,(3*D122/15),(C122*(3/5)*D122/15))</f>
        <v>0</v>
      </c>
      <c r="F122" s="567">
        <f>+D122*1/15</f>
        <v>0</v>
      </c>
      <c r="G122" s="568">
        <f>+(D122/15)*1*(C122-5)/5+(D122*1/15)</f>
        <v>0</v>
      </c>
      <c r="H122" s="569">
        <f>+E122+F122+G122</f>
        <v>0</v>
      </c>
      <c r="I122" s="74"/>
      <c r="J122" s="116"/>
    </row>
    <row r="123" spans="1:10" ht="21" customHeight="1">
      <c r="A123" s="19"/>
      <c r="B123" s="233" t="s">
        <v>73</v>
      </c>
      <c r="C123" s="561">
        <v>0</v>
      </c>
      <c r="D123" s="562">
        <v>0</v>
      </c>
      <c r="E123" s="570">
        <f>IF(C123&gt;5,(3*D123/15),(C123*(3/5)*D123/15))</f>
        <v>0</v>
      </c>
      <c r="F123" s="571">
        <f>+D123*1/15</f>
        <v>0</v>
      </c>
      <c r="G123" s="572">
        <f>+(D123/15)*1*(C123-5)/5+(D123*1/15)</f>
        <v>0</v>
      </c>
      <c r="H123" s="973">
        <f>+E123+F123+G123</f>
        <v>0</v>
      </c>
      <c r="I123" s="74"/>
      <c r="J123" s="113"/>
    </row>
    <row r="124" spans="1:10" s="204" customFormat="1" ht="21" customHeight="1">
      <c r="A124" s="19"/>
      <c r="B124" s="234" t="s">
        <v>74</v>
      </c>
      <c r="C124" s="574">
        <v>0</v>
      </c>
      <c r="D124" s="575">
        <v>0</v>
      </c>
      <c r="E124" s="687">
        <f>IF(C124&gt;5,(3*D124/15),(C124*(3/5)*D124/15))</f>
        <v>0</v>
      </c>
      <c r="F124" s="688">
        <f>+D124*1/15</f>
        <v>0</v>
      </c>
      <c r="G124" s="689">
        <f>+(D124/15)*1*(C124-5)/5+(D124*1/15)</f>
        <v>0</v>
      </c>
      <c r="H124" s="974">
        <f>+E124+F124+G124</f>
        <v>0</v>
      </c>
      <c r="I124" s="93"/>
      <c r="J124" s="975"/>
    </row>
    <row r="125" spans="1:10" ht="27.75" customHeight="1">
      <c r="A125" s="622"/>
      <c r="B125" s="23" t="s">
        <v>177</v>
      </c>
      <c r="C125" s="623"/>
      <c r="D125" s="623"/>
      <c r="E125" s="624"/>
      <c r="F125" s="625"/>
      <c r="G125" s="624"/>
      <c r="H125" s="626"/>
      <c r="I125" s="274"/>
      <c r="J125" s="116"/>
    </row>
    <row r="126" spans="1:10" ht="27.75" customHeight="1">
      <c r="A126" s="19"/>
      <c r="B126" s="69" t="s">
        <v>75</v>
      </c>
      <c r="C126" s="556">
        <v>0</v>
      </c>
      <c r="D126" s="557">
        <v>0</v>
      </c>
      <c r="E126" s="566">
        <f>+D126*2.5/30</f>
        <v>0</v>
      </c>
      <c r="F126" s="567">
        <f>+D126*3/30</f>
        <v>0</v>
      </c>
      <c r="G126" s="568">
        <f>+(D126/30)*2*(C126-10)/10+(D126*2/30)</f>
        <v>0</v>
      </c>
      <c r="H126" s="569">
        <f>+E126+F126+G126</f>
        <v>0</v>
      </c>
      <c r="I126" s="74"/>
      <c r="J126" s="115"/>
    </row>
    <row r="127" spans="1:10" ht="27.75" customHeight="1">
      <c r="A127" s="19"/>
      <c r="B127" s="70" t="s">
        <v>76</v>
      </c>
      <c r="C127" s="574">
        <v>0</v>
      </c>
      <c r="D127" s="575">
        <v>0</v>
      </c>
      <c r="E127" s="566">
        <f>+D127*2.5/30</f>
        <v>0</v>
      </c>
      <c r="F127" s="567">
        <f>+D127*3/30</f>
        <v>0</v>
      </c>
      <c r="G127" s="568">
        <f>+(D127/30)*2*(C127-10)/10+(D127*2/30)</f>
        <v>0</v>
      </c>
      <c r="H127" s="974">
        <f>+E127+F127+G127</f>
        <v>0</v>
      </c>
      <c r="I127" s="972"/>
      <c r="J127" s="491"/>
    </row>
    <row r="128" spans="1:10" ht="21.75">
      <c r="A128" s="19"/>
      <c r="B128" s="223" t="s">
        <v>178</v>
      </c>
      <c r="C128" s="235"/>
      <c r="D128" s="236"/>
      <c r="E128" s="154"/>
      <c r="F128" s="154"/>
      <c r="G128" s="229"/>
      <c r="H128" s="110"/>
      <c r="I128" s="74"/>
      <c r="J128" s="116"/>
    </row>
    <row r="129" spans="1:10" ht="21.75">
      <c r="A129" s="19"/>
      <c r="B129" s="69" t="s">
        <v>163</v>
      </c>
      <c r="C129" s="549">
        <v>0</v>
      </c>
      <c r="D129" s="550">
        <v>0</v>
      </c>
      <c r="E129" s="163">
        <f>IF(C129&gt;2,(3*D129/45),(C129*(3/2)*D129/45))</f>
        <v>0</v>
      </c>
      <c r="F129" s="164">
        <f>+D129*4/45</f>
        <v>0</v>
      </c>
      <c r="G129" s="167">
        <f>+(D129/45)*4*(C129-2)/2+(D129*4/45)</f>
        <v>0</v>
      </c>
      <c r="H129" s="147">
        <f>+E129+F129+G129</f>
        <v>0</v>
      </c>
      <c r="I129" s="74"/>
      <c r="J129" s="116"/>
    </row>
    <row r="130" spans="1:10" ht="21.75">
      <c r="A130" s="19"/>
      <c r="B130" s="69" t="s">
        <v>285</v>
      </c>
      <c r="C130" s="551">
        <v>0</v>
      </c>
      <c r="D130" s="552">
        <v>0</v>
      </c>
      <c r="E130" s="163">
        <f>IF(C130&gt;2,(3*D130/45),(C130*(3/2)*D130/45))</f>
        <v>0</v>
      </c>
      <c r="F130" s="164">
        <f>+D130*4/45</f>
        <v>0</v>
      </c>
      <c r="G130" s="167">
        <f>+(D130/45)*4*(C130-2)/2+(D130*4/45)</f>
        <v>0</v>
      </c>
      <c r="H130" s="147">
        <f>+E130+F130+G130</f>
        <v>0</v>
      </c>
      <c r="I130" s="74"/>
      <c r="J130" s="115"/>
    </row>
    <row r="131" spans="1:9" ht="24" customHeight="1">
      <c r="A131" s="162"/>
      <c r="B131" s="587" t="s">
        <v>307</v>
      </c>
      <c r="C131" s="585"/>
      <c r="D131" s="588"/>
      <c r="E131" s="709"/>
      <c r="F131" s="709"/>
      <c r="G131" s="709"/>
      <c r="H131" s="710">
        <f>SUM(H118:H130)</f>
        <v>0</v>
      </c>
      <c r="I131" s="162"/>
    </row>
    <row r="132" spans="2:7" ht="24" customHeight="1" thickBot="1">
      <c r="B132" s="711" t="s">
        <v>306</v>
      </c>
      <c r="C132" s="1028">
        <f>(SUM(D118:D120)+SUM(D122:D124))/15</f>
        <v>0</v>
      </c>
      <c r="D132" s="1028">
        <f>SUM(D126:D127)/30</f>
        <v>0</v>
      </c>
      <c r="E132" s="1028">
        <f>SUM(D129:D130)*2/45</f>
        <v>0</v>
      </c>
      <c r="F132" s="465" t="s">
        <v>301</v>
      </c>
      <c r="G132" s="1029">
        <f>C132+D132+E132</f>
        <v>0</v>
      </c>
    </row>
    <row r="133" spans="1:8" ht="24" customHeight="1" thickBot="1">
      <c r="A133" s="712"/>
      <c r="B133" s="715" t="s">
        <v>308</v>
      </c>
      <c r="C133" s="713">
        <f>C72+C108+C132</f>
        <v>0</v>
      </c>
      <c r="D133" s="713">
        <f>D72+D108+D132</f>
        <v>0</v>
      </c>
      <c r="E133" s="713">
        <f>E72+E108+E132</f>
        <v>0</v>
      </c>
      <c r="F133" s="713" t="s">
        <v>309</v>
      </c>
      <c r="G133" s="716">
        <f>G72+G108+G132</f>
        <v>0</v>
      </c>
      <c r="H133" s="714"/>
    </row>
  </sheetData>
  <sheetProtection password="CC19" sheet="1"/>
  <mergeCells count="6">
    <mergeCell ref="A2:G2"/>
    <mergeCell ref="E5:G5"/>
    <mergeCell ref="E52:G52"/>
    <mergeCell ref="E74:G74"/>
    <mergeCell ref="E99:G99"/>
    <mergeCell ref="E109:G109"/>
  </mergeCells>
  <printOptions/>
  <pageMargins left="0.45" right="0.2" top="0.75" bottom="0.2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view="pageBreakPreview" zoomScale="110" zoomScaleSheetLayoutView="110" zoomScalePageLayoutView="0" workbookViewId="0" topLeftCell="A124">
      <selection activeCell="E137" sqref="E137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3" customWidth="1"/>
    <col min="7" max="7" width="7.140625" style="13" customWidth="1"/>
    <col min="8" max="8" width="5.421875" style="1" customWidth="1"/>
    <col min="9" max="9" width="32.8515625" style="1" customWidth="1"/>
    <col min="10" max="10" width="10.00390625" style="112" hidden="1" customWidth="1"/>
    <col min="11" max="16384" width="9.140625" style="1" customWidth="1"/>
  </cols>
  <sheetData>
    <row r="1" spans="1:10" ht="16.5" customHeight="1">
      <c r="A1" s="158"/>
      <c r="B1" s="6"/>
      <c r="C1" s="6"/>
      <c r="D1" s="6"/>
      <c r="E1" s="6"/>
      <c r="F1" s="6"/>
      <c r="G1" s="6"/>
      <c r="H1" s="6"/>
      <c r="I1" s="159" t="s">
        <v>389</v>
      </c>
      <c r="J1" s="113"/>
    </row>
    <row r="2" spans="1:10" ht="18" customHeight="1">
      <c r="A2" s="992"/>
      <c r="B2" s="29" t="s">
        <v>0</v>
      </c>
      <c r="C2" s="30" t="s">
        <v>11</v>
      </c>
      <c r="D2" s="993" t="s">
        <v>33</v>
      </c>
      <c r="E2" s="1046" t="s">
        <v>5</v>
      </c>
      <c r="F2" s="1046"/>
      <c r="G2" s="1046"/>
      <c r="H2" s="185" t="s">
        <v>3</v>
      </c>
      <c r="I2" s="994" t="s">
        <v>4</v>
      </c>
      <c r="J2" s="114"/>
    </row>
    <row r="3" spans="1:10" ht="18" customHeight="1">
      <c r="A3" s="617"/>
      <c r="B3" s="618"/>
      <c r="C3" s="34" t="s">
        <v>13</v>
      </c>
      <c r="D3" s="34" t="s">
        <v>7</v>
      </c>
      <c r="E3" s="35" t="s">
        <v>6</v>
      </c>
      <c r="F3" s="27" t="s">
        <v>7</v>
      </c>
      <c r="G3" s="31" t="s">
        <v>8</v>
      </c>
      <c r="H3" s="18"/>
      <c r="I3" s="991"/>
      <c r="J3" s="115"/>
    </row>
    <row r="4" spans="1:10" ht="18" customHeight="1">
      <c r="A4" s="2">
        <v>1</v>
      </c>
      <c r="B4" s="3" t="s">
        <v>370</v>
      </c>
      <c r="C4" s="16"/>
      <c r="D4" s="39"/>
      <c r="E4" s="38"/>
      <c r="F4" s="39"/>
      <c r="G4" s="38"/>
      <c r="H4" s="39"/>
      <c r="I4" s="7"/>
      <c r="J4" s="116"/>
    </row>
    <row r="5" spans="1:10" ht="18" customHeight="1">
      <c r="A5" s="4"/>
      <c r="B5" s="5" t="s">
        <v>347</v>
      </c>
      <c r="C5" s="7"/>
      <c r="D5" s="13"/>
      <c r="E5" s="13"/>
      <c r="F5" s="8"/>
      <c r="H5" s="8"/>
      <c r="I5" s="724"/>
      <c r="J5" s="116"/>
    </row>
    <row r="6" spans="1:10" ht="18" customHeight="1">
      <c r="A6" s="4">
        <v>1.1</v>
      </c>
      <c r="B6" s="5" t="s">
        <v>64</v>
      </c>
      <c r="C6" s="453"/>
      <c r="D6" s="465"/>
      <c r="E6" s="453"/>
      <c r="F6" s="8"/>
      <c r="H6" s="8"/>
      <c r="I6" s="74"/>
      <c r="J6" s="116"/>
    </row>
    <row r="7" spans="1:10" ht="18" customHeight="1">
      <c r="A7" s="4"/>
      <c r="B7" s="5" t="s">
        <v>293</v>
      </c>
      <c r="C7" s="13"/>
      <c r="D7" s="13"/>
      <c r="E7" s="13"/>
      <c r="F7" s="8"/>
      <c r="H7" s="7"/>
      <c r="I7" s="725"/>
      <c r="J7" s="116"/>
    </row>
    <row r="8" spans="1:10" ht="16.5" customHeight="1">
      <c r="A8" s="19"/>
      <c r="B8" s="68" t="s">
        <v>53</v>
      </c>
      <c r="C8" s="538">
        <v>0</v>
      </c>
      <c r="D8" s="539">
        <v>0</v>
      </c>
      <c r="E8" s="163">
        <f>+D8*1/15</f>
        <v>0</v>
      </c>
      <c r="F8" s="166">
        <f>+D8/15</f>
        <v>0</v>
      </c>
      <c r="G8" s="167">
        <f>+(D8/15)*(C8-50)/50+(D8/15)</f>
        <v>0</v>
      </c>
      <c r="H8" s="106">
        <f>+E8+F8+G8</f>
        <v>0</v>
      </c>
      <c r="I8" s="74" t="s">
        <v>268</v>
      </c>
      <c r="J8" s="116"/>
    </row>
    <row r="9" spans="1:10" ht="16.5" customHeight="1">
      <c r="A9" s="19"/>
      <c r="B9" s="68" t="s">
        <v>50</v>
      </c>
      <c r="C9" s="538">
        <v>0</v>
      </c>
      <c r="D9" s="539">
        <v>0</v>
      </c>
      <c r="E9" s="163">
        <f>+D9*1/15</f>
        <v>0</v>
      </c>
      <c r="F9" s="166">
        <f>+D9/15</f>
        <v>0</v>
      </c>
      <c r="G9" s="167">
        <f>+(D9/15)*(C9-50)/50+(D9/15)</f>
        <v>0</v>
      </c>
      <c r="H9" s="106">
        <f>+E9+F9+G9</f>
        <v>0</v>
      </c>
      <c r="I9" s="74"/>
      <c r="J9" s="116"/>
    </row>
    <row r="10" spans="1:10" ht="16.5" customHeight="1">
      <c r="A10" s="19"/>
      <c r="B10" s="69" t="s">
        <v>16</v>
      </c>
      <c r="C10" s="538">
        <v>0</v>
      </c>
      <c r="D10" s="539">
        <v>0</v>
      </c>
      <c r="E10" s="163">
        <f>+D10*1/15</f>
        <v>0</v>
      </c>
      <c r="F10" s="166">
        <f>+D10/15</f>
        <v>0</v>
      </c>
      <c r="G10" s="167">
        <f>+(D10/15)*(C10-50)/50+(D10/15)</f>
        <v>0</v>
      </c>
      <c r="H10" s="106">
        <f>+E10+F10+G10</f>
        <v>0</v>
      </c>
      <c r="I10" s="138"/>
      <c r="J10" s="116"/>
    </row>
    <row r="11" spans="1:10" ht="16.5" customHeight="1">
      <c r="A11" s="19"/>
      <c r="B11" s="69" t="s">
        <v>17</v>
      </c>
      <c r="C11" s="538">
        <v>0</v>
      </c>
      <c r="D11" s="539">
        <v>0</v>
      </c>
      <c r="E11" s="163">
        <f>+D11*1/15</f>
        <v>0</v>
      </c>
      <c r="F11" s="166">
        <f>+D11/15</f>
        <v>0</v>
      </c>
      <c r="G11" s="167">
        <f>+(D11/15)*(C11-50)/50+(D11/15)</f>
        <v>0</v>
      </c>
      <c r="H11" s="106">
        <f>+E11+F11+G11</f>
        <v>0</v>
      </c>
      <c r="I11" s="75"/>
      <c r="J11" s="116"/>
    </row>
    <row r="12" spans="1:10" ht="16.5" customHeight="1">
      <c r="A12" s="19"/>
      <c r="B12" s="69" t="s">
        <v>54</v>
      </c>
      <c r="C12" s="538">
        <v>0</v>
      </c>
      <c r="D12" s="539">
        <v>0</v>
      </c>
      <c r="E12" s="163">
        <f>+D12*1/15</f>
        <v>0</v>
      </c>
      <c r="F12" s="166">
        <f>+D12/15</f>
        <v>0</v>
      </c>
      <c r="G12" s="167">
        <f>+(D12/15)*(C12-50)/50+(D12/15)</f>
        <v>0</v>
      </c>
      <c r="H12" s="106">
        <f>+E12+F12+G12</f>
        <v>0</v>
      </c>
      <c r="I12" s="75"/>
      <c r="J12" s="116"/>
    </row>
    <row r="13" spans="1:10" ht="16.5" customHeight="1">
      <c r="A13" s="19"/>
      <c r="B13" s="69" t="s">
        <v>55</v>
      </c>
      <c r="C13" s="538">
        <v>0</v>
      </c>
      <c r="D13" s="539">
        <v>0</v>
      </c>
      <c r="E13" s="163">
        <f aca="true" t="shared" si="0" ref="E13:E20">+D13*1/15</f>
        <v>0</v>
      </c>
      <c r="F13" s="166">
        <f aca="true" t="shared" si="1" ref="F13:F20">+D13/15</f>
        <v>0</v>
      </c>
      <c r="G13" s="167">
        <f aca="true" t="shared" si="2" ref="G13:G20">+(D13/15)*(C13-50)/50+(D13/15)</f>
        <v>0</v>
      </c>
      <c r="H13" s="106">
        <f aca="true" t="shared" si="3" ref="H13:H20">+E13+F13+G13</f>
        <v>0</v>
      </c>
      <c r="I13" s="75"/>
      <c r="J13" s="116"/>
    </row>
    <row r="14" spans="1:10" ht="16.5" customHeight="1">
      <c r="A14" s="19"/>
      <c r="B14" s="69" t="s">
        <v>249</v>
      </c>
      <c r="C14" s="538">
        <v>0</v>
      </c>
      <c r="D14" s="539">
        <v>0</v>
      </c>
      <c r="E14" s="163">
        <f t="shared" si="0"/>
        <v>0</v>
      </c>
      <c r="F14" s="166">
        <f t="shared" si="1"/>
        <v>0</v>
      </c>
      <c r="G14" s="167">
        <f t="shared" si="2"/>
        <v>0</v>
      </c>
      <c r="H14" s="106">
        <f t="shared" si="3"/>
        <v>0</v>
      </c>
      <c r="I14" s="75"/>
      <c r="J14" s="116"/>
    </row>
    <row r="15" spans="1:10" ht="16.5" customHeight="1">
      <c r="A15" s="19"/>
      <c r="B15" s="69" t="s">
        <v>250</v>
      </c>
      <c r="C15" s="538">
        <v>0</v>
      </c>
      <c r="D15" s="539">
        <v>0</v>
      </c>
      <c r="E15" s="163">
        <f t="shared" si="0"/>
        <v>0</v>
      </c>
      <c r="F15" s="166">
        <f t="shared" si="1"/>
        <v>0</v>
      </c>
      <c r="G15" s="167">
        <f t="shared" si="2"/>
        <v>0</v>
      </c>
      <c r="H15" s="106">
        <f t="shared" si="3"/>
        <v>0</v>
      </c>
      <c r="I15" s="75"/>
      <c r="J15" s="116"/>
    </row>
    <row r="16" spans="1:10" ht="16.5" customHeight="1">
      <c r="A16" s="19"/>
      <c r="B16" s="69" t="s">
        <v>251</v>
      </c>
      <c r="C16" s="538">
        <v>0</v>
      </c>
      <c r="D16" s="539">
        <v>0</v>
      </c>
      <c r="E16" s="163">
        <f t="shared" si="0"/>
        <v>0</v>
      </c>
      <c r="F16" s="166">
        <f t="shared" si="1"/>
        <v>0</v>
      </c>
      <c r="G16" s="167">
        <f t="shared" si="2"/>
        <v>0</v>
      </c>
      <c r="H16" s="106">
        <f t="shared" si="3"/>
        <v>0</v>
      </c>
      <c r="I16" s="75"/>
      <c r="J16" s="116"/>
    </row>
    <row r="17" spans="1:10" ht="16.5" customHeight="1">
      <c r="A17" s="19"/>
      <c r="B17" s="69" t="s">
        <v>252</v>
      </c>
      <c r="C17" s="538">
        <v>0</v>
      </c>
      <c r="D17" s="539">
        <v>0</v>
      </c>
      <c r="E17" s="163">
        <f t="shared" si="0"/>
        <v>0</v>
      </c>
      <c r="F17" s="166">
        <f t="shared" si="1"/>
        <v>0</v>
      </c>
      <c r="G17" s="167">
        <f t="shared" si="2"/>
        <v>0</v>
      </c>
      <c r="H17" s="106">
        <f t="shared" si="3"/>
        <v>0</v>
      </c>
      <c r="I17" s="75"/>
      <c r="J17" s="116"/>
    </row>
    <row r="18" spans="1:10" ht="16.5" customHeight="1">
      <c r="A18" s="19"/>
      <c r="B18" s="69" t="s">
        <v>269</v>
      </c>
      <c r="C18" s="538">
        <v>0</v>
      </c>
      <c r="D18" s="539">
        <v>0</v>
      </c>
      <c r="E18" s="163">
        <f>+D18*1/15</f>
        <v>0</v>
      </c>
      <c r="F18" s="166">
        <f>+D18/15</f>
        <v>0</v>
      </c>
      <c r="G18" s="167">
        <f>+(D18/15)*(C18-50)/50+(D18/15)</f>
        <v>0</v>
      </c>
      <c r="H18" s="106">
        <f>+E18+F18+G18</f>
        <v>0</v>
      </c>
      <c r="I18" s="75"/>
      <c r="J18" s="116"/>
    </row>
    <row r="19" spans="1:10" ht="16.5" customHeight="1">
      <c r="A19" s="19"/>
      <c r="B19" s="69" t="s">
        <v>253</v>
      </c>
      <c r="C19" s="538">
        <v>0</v>
      </c>
      <c r="D19" s="539">
        <v>0</v>
      </c>
      <c r="E19" s="163">
        <f>+D19*1/15</f>
        <v>0</v>
      </c>
      <c r="F19" s="166">
        <f>+D19/15</f>
        <v>0</v>
      </c>
      <c r="G19" s="167">
        <f>+(D19/15)*(C19-50)/50+(D19/15)</f>
        <v>0</v>
      </c>
      <c r="H19" s="106">
        <f>+E19+F19+G19</f>
        <v>0</v>
      </c>
      <c r="I19" s="75"/>
      <c r="J19" s="116"/>
    </row>
    <row r="20" spans="1:10" ht="16.5" customHeight="1">
      <c r="A20" s="19"/>
      <c r="B20" s="69" t="s">
        <v>254</v>
      </c>
      <c r="C20" s="538">
        <v>0</v>
      </c>
      <c r="D20" s="539">
        <v>0</v>
      </c>
      <c r="E20" s="163">
        <f t="shared" si="0"/>
        <v>0</v>
      </c>
      <c r="F20" s="166">
        <f t="shared" si="1"/>
        <v>0</v>
      </c>
      <c r="G20" s="167">
        <f t="shared" si="2"/>
        <v>0</v>
      </c>
      <c r="H20" s="106">
        <f t="shared" si="3"/>
        <v>0</v>
      </c>
      <c r="I20" s="75"/>
      <c r="J20" s="116"/>
    </row>
    <row r="21" spans="1:10" ht="16.5" customHeight="1">
      <c r="A21" s="19"/>
      <c r="B21" s="69" t="s">
        <v>270</v>
      </c>
      <c r="C21" s="538">
        <v>0</v>
      </c>
      <c r="D21" s="539">
        <v>0</v>
      </c>
      <c r="E21" s="163">
        <f>+D21*1/15</f>
        <v>0</v>
      </c>
      <c r="F21" s="166">
        <f>+D21/15</f>
        <v>0</v>
      </c>
      <c r="G21" s="167">
        <f>+(D21/15)*(C21-50)/50+(D21/15)</f>
        <v>0</v>
      </c>
      <c r="H21" s="106">
        <f>+E21+F21+G21</f>
        <v>0</v>
      </c>
      <c r="I21" s="75"/>
      <c r="J21" s="116"/>
    </row>
    <row r="22" spans="1:10" ht="16.5" customHeight="1">
      <c r="A22" s="208"/>
      <c r="B22" s="70" t="s">
        <v>271</v>
      </c>
      <c r="C22" s="540">
        <v>0</v>
      </c>
      <c r="D22" s="541">
        <v>0</v>
      </c>
      <c r="E22" s="170">
        <f>+D22*1/15</f>
        <v>0</v>
      </c>
      <c r="F22" s="447">
        <f>+D22/15</f>
        <v>0</v>
      </c>
      <c r="G22" s="172">
        <f>+(D22/15)*(C22-50)/50+(D22/15)</f>
        <v>0</v>
      </c>
      <c r="H22" s="107">
        <f>+E22+F22+G22</f>
        <v>0</v>
      </c>
      <c r="I22" s="93"/>
      <c r="J22" s="115"/>
    </row>
    <row r="23" spans="1:10" ht="18" customHeight="1">
      <c r="A23" s="19"/>
      <c r="B23" s="21" t="s">
        <v>172</v>
      </c>
      <c r="C23" s="60"/>
      <c r="D23" s="60"/>
      <c r="E23" s="56"/>
      <c r="F23" s="57"/>
      <c r="G23" s="56"/>
      <c r="H23" s="58"/>
      <c r="I23" s="74"/>
      <c r="J23" s="116"/>
    </row>
    <row r="24" spans="1:10" ht="18" customHeight="1">
      <c r="A24" s="19"/>
      <c r="B24" s="21" t="s">
        <v>37</v>
      </c>
      <c r="C24" s="60"/>
      <c r="D24" s="60"/>
      <c r="E24" s="56"/>
      <c r="F24" s="56"/>
      <c r="G24" s="56"/>
      <c r="H24" s="58"/>
      <c r="I24" s="74"/>
      <c r="J24" s="116"/>
    </row>
    <row r="25" spans="1:10" ht="15.75" customHeight="1">
      <c r="A25" s="19"/>
      <c r="B25" s="69" t="s">
        <v>18</v>
      </c>
      <c r="C25" s="543">
        <v>0</v>
      </c>
      <c r="D25" s="544">
        <v>0</v>
      </c>
      <c r="E25" s="163">
        <f aca="true" t="shared" si="4" ref="E25:E40">+D25*1/30</f>
        <v>0</v>
      </c>
      <c r="F25" s="164">
        <f aca="true" t="shared" si="5" ref="F25:F40">+D25*2/30</f>
        <v>0</v>
      </c>
      <c r="G25" s="165">
        <f aca="true" t="shared" si="6" ref="G25:G32">+(D25/30)*1*(C25-25)/25+(D25*1/30)</f>
        <v>0</v>
      </c>
      <c r="H25" s="106">
        <f aca="true" t="shared" si="7" ref="H25:H40">+E25+F25+G25</f>
        <v>0</v>
      </c>
      <c r="I25" s="75"/>
      <c r="J25" s="116"/>
    </row>
    <row r="26" spans="1:10" ht="15.75" customHeight="1">
      <c r="A26" s="19"/>
      <c r="B26" s="69" t="s">
        <v>19</v>
      </c>
      <c r="C26" s="545">
        <v>0</v>
      </c>
      <c r="D26" s="546">
        <v>0</v>
      </c>
      <c r="E26" s="163">
        <f t="shared" si="4"/>
        <v>0</v>
      </c>
      <c r="F26" s="164">
        <f t="shared" si="5"/>
        <v>0</v>
      </c>
      <c r="G26" s="165">
        <f t="shared" si="6"/>
        <v>0</v>
      </c>
      <c r="H26" s="106">
        <f t="shared" si="7"/>
        <v>0</v>
      </c>
      <c r="I26" s="74"/>
      <c r="J26" s="116"/>
    </row>
    <row r="27" spans="1:10" ht="15.75" customHeight="1">
      <c r="A27" s="19"/>
      <c r="B27" s="69" t="s">
        <v>20</v>
      </c>
      <c r="C27" s="545">
        <v>0</v>
      </c>
      <c r="D27" s="546">
        <v>0</v>
      </c>
      <c r="E27" s="163">
        <f t="shared" si="4"/>
        <v>0</v>
      </c>
      <c r="F27" s="164">
        <f t="shared" si="5"/>
        <v>0</v>
      </c>
      <c r="G27" s="165">
        <f t="shared" si="6"/>
        <v>0</v>
      </c>
      <c r="H27" s="106">
        <f t="shared" si="7"/>
        <v>0</v>
      </c>
      <c r="I27" s="74"/>
      <c r="J27" s="116"/>
    </row>
    <row r="28" spans="1:10" ht="18.75" customHeight="1">
      <c r="A28" s="19"/>
      <c r="B28" s="69" t="s">
        <v>21</v>
      </c>
      <c r="C28" s="545">
        <v>0</v>
      </c>
      <c r="D28" s="546">
        <v>0</v>
      </c>
      <c r="E28" s="163">
        <f t="shared" si="4"/>
        <v>0</v>
      </c>
      <c r="F28" s="164">
        <f t="shared" si="5"/>
        <v>0</v>
      </c>
      <c r="G28" s="165">
        <f t="shared" si="6"/>
        <v>0</v>
      </c>
      <c r="H28" s="106">
        <f t="shared" si="7"/>
        <v>0</v>
      </c>
      <c r="I28" s="74"/>
      <c r="J28" s="116"/>
    </row>
    <row r="29" spans="1:10" ht="18.75" customHeight="1">
      <c r="A29" s="19"/>
      <c r="B29" s="69" t="s">
        <v>223</v>
      </c>
      <c r="C29" s="545">
        <v>0</v>
      </c>
      <c r="D29" s="546">
        <v>0</v>
      </c>
      <c r="E29" s="163">
        <f>+D29*1/30</f>
        <v>0</v>
      </c>
      <c r="F29" s="164">
        <f>+D29*2/30</f>
        <v>0</v>
      </c>
      <c r="G29" s="165">
        <f t="shared" si="6"/>
        <v>0</v>
      </c>
      <c r="H29" s="106">
        <f>+E29+F29+G29</f>
        <v>0</v>
      </c>
      <c r="I29" s="74"/>
      <c r="J29" s="116"/>
    </row>
    <row r="30" spans="1:10" ht="18.75" customHeight="1">
      <c r="A30" s="19"/>
      <c r="B30" s="69" t="s">
        <v>255</v>
      </c>
      <c r="C30" s="545">
        <v>0</v>
      </c>
      <c r="D30" s="546">
        <v>0</v>
      </c>
      <c r="E30" s="163">
        <f>+D30*1/30</f>
        <v>0</v>
      </c>
      <c r="F30" s="164">
        <f>+D30*2/30</f>
        <v>0</v>
      </c>
      <c r="G30" s="165">
        <f t="shared" si="6"/>
        <v>0</v>
      </c>
      <c r="H30" s="106">
        <f>+E30+F30+G30</f>
        <v>0</v>
      </c>
      <c r="I30" s="74"/>
      <c r="J30" s="116"/>
    </row>
    <row r="31" spans="1:10" ht="18.75" customHeight="1">
      <c r="A31" s="19"/>
      <c r="B31" s="69" t="s">
        <v>256</v>
      </c>
      <c r="C31" s="545">
        <v>0</v>
      </c>
      <c r="D31" s="546">
        <v>0</v>
      </c>
      <c r="E31" s="163">
        <f>+D31*1/30</f>
        <v>0</v>
      </c>
      <c r="F31" s="164">
        <f>+D31*2/30</f>
        <v>0</v>
      </c>
      <c r="G31" s="165">
        <f t="shared" si="6"/>
        <v>0</v>
      </c>
      <c r="H31" s="106">
        <f>+E31+F31+G31</f>
        <v>0</v>
      </c>
      <c r="I31" s="74"/>
      <c r="J31" s="116"/>
    </row>
    <row r="32" spans="1:10" ht="18.75" customHeight="1">
      <c r="A32" s="19"/>
      <c r="B32" s="70" t="s">
        <v>256</v>
      </c>
      <c r="C32" s="692">
        <v>0</v>
      </c>
      <c r="D32" s="693">
        <v>0</v>
      </c>
      <c r="E32" s="168">
        <f>+D32*1/30</f>
        <v>0</v>
      </c>
      <c r="F32" s="174">
        <f>+D32*2/30</f>
        <v>0</v>
      </c>
      <c r="G32" s="657">
        <f t="shared" si="6"/>
        <v>0</v>
      </c>
      <c r="H32" s="505">
        <f>+E32+F32+G32</f>
        <v>0</v>
      </c>
      <c r="I32" s="210"/>
      <c r="J32" s="116"/>
    </row>
    <row r="33" spans="1:10" ht="18.75" customHeight="1">
      <c r="A33" s="19"/>
      <c r="B33" s="485" t="s">
        <v>257</v>
      </c>
      <c r="C33" s="543">
        <v>0</v>
      </c>
      <c r="D33" s="544">
        <v>0</v>
      </c>
      <c r="E33" s="163">
        <f t="shared" si="4"/>
        <v>0</v>
      </c>
      <c r="F33" s="164">
        <f t="shared" si="5"/>
        <v>0</v>
      </c>
      <c r="G33" s="165">
        <f aca="true" t="shared" si="8" ref="G33:G40">+(D33/30)*1*(C33-12)/12+(D33*1/30)</f>
        <v>0</v>
      </c>
      <c r="H33" s="106">
        <f t="shared" si="7"/>
        <v>0</v>
      </c>
      <c r="I33" s="74"/>
      <c r="J33" s="116"/>
    </row>
    <row r="34" spans="1:10" ht="18.75" customHeight="1">
      <c r="A34" s="19"/>
      <c r="B34" s="485" t="s">
        <v>258</v>
      </c>
      <c r="C34" s="545">
        <v>0</v>
      </c>
      <c r="D34" s="546">
        <v>0</v>
      </c>
      <c r="E34" s="163">
        <f>+D34*1/30</f>
        <v>0</v>
      </c>
      <c r="F34" s="164">
        <f>+D34*2/30</f>
        <v>0</v>
      </c>
      <c r="G34" s="165">
        <f t="shared" si="8"/>
        <v>0</v>
      </c>
      <c r="H34" s="106">
        <f>+E34+F34+G34</f>
        <v>0</v>
      </c>
      <c r="I34" s="74"/>
      <c r="J34" s="116"/>
    </row>
    <row r="35" spans="1:10" ht="18.75" customHeight="1">
      <c r="A35" s="19"/>
      <c r="B35" s="485" t="s">
        <v>259</v>
      </c>
      <c r="C35" s="545">
        <v>0</v>
      </c>
      <c r="D35" s="546">
        <v>0</v>
      </c>
      <c r="E35" s="163">
        <f>+D35*1/30</f>
        <v>0</v>
      </c>
      <c r="F35" s="164">
        <f>+D35*2/30</f>
        <v>0</v>
      </c>
      <c r="G35" s="165">
        <f t="shared" si="8"/>
        <v>0</v>
      </c>
      <c r="H35" s="106">
        <f>+E35+F35+G35</f>
        <v>0</v>
      </c>
      <c r="I35" s="74"/>
      <c r="J35" s="116"/>
    </row>
    <row r="36" spans="1:10" ht="18.75" customHeight="1">
      <c r="A36" s="19"/>
      <c r="B36" s="485" t="s">
        <v>260</v>
      </c>
      <c r="C36" s="545">
        <v>0</v>
      </c>
      <c r="D36" s="546">
        <v>0</v>
      </c>
      <c r="E36" s="163">
        <f>+D36*1/30</f>
        <v>0</v>
      </c>
      <c r="F36" s="164">
        <f>+D36*2/30</f>
        <v>0</v>
      </c>
      <c r="G36" s="165">
        <f t="shared" si="8"/>
        <v>0</v>
      </c>
      <c r="H36" s="106">
        <f>+E36+F36+G36</f>
        <v>0</v>
      </c>
      <c r="I36" s="74"/>
      <c r="J36" s="116"/>
    </row>
    <row r="37" spans="1:10" ht="18.75" customHeight="1">
      <c r="A37" s="19"/>
      <c r="B37" s="485" t="s">
        <v>261</v>
      </c>
      <c r="C37" s="545">
        <v>0</v>
      </c>
      <c r="D37" s="546">
        <v>0</v>
      </c>
      <c r="E37" s="163">
        <f t="shared" si="4"/>
        <v>0</v>
      </c>
      <c r="F37" s="164">
        <f t="shared" si="5"/>
        <v>0</v>
      </c>
      <c r="G37" s="165">
        <f t="shared" si="8"/>
        <v>0</v>
      </c>
      <c r="H37" s="106">
        <f t="shared" si="7"/>
        <v>0</v>
      </c>
      <c r="I37" s="74"/>
      <c r="J37" s="116"/>
    </row>
    <row r="38" spans="1:10" ht="18.75" customHeight="1">
      <c r="A38" s="19"/>
      <c r="B38" s="485" t="s">
        <v>262</v>
      </c>
      <c r="C38" s="545">
        <v>0</v>
      </c>
      <c r="D38" s="546">
        <v>0</v>
      </c>
      <c r="E38" s="163">
        <f t="shared" si="4"/>
        <v>0</v>
      </c>
      <c r="F38" s="164">
        <f t="shared" si="5"/>
        <v>0</v>
      </c>
      <c r="G38" s="165">
        <f t="shared" si="8"/>
        <v>0</v>
      </c>
      <c r="H38" s="106">
        <f t="shared" si="7"/>
        <v>0</v>
      </c>
      <c r="I38" s="74"/>
      <c r="J38" s="116"/>
    </row>
    <row r="39" spans="1:10" ht="18.75" customHeight="1">
      <c r="A39" s="19"/>
      <c r="B39" s="485" t="s">
        <v>263</v>
      </c>
      <c r="C39" s="545">
        <v>0</v>
      </c>
      <c r="D39" s="546">
        <v>0</v>
      </c>
      <c r="E39" s="163">
        <f>+D39*1/30</f>
        <v>0</v>
      </c>
      <c r="F39" s="164">
        <f>+D39*2/30</f>
        <v>0</v>
      </c>
      <c r="G39" s="165">
        <f t="shared" si="8"/>
        <v>0</v>
      </c>
      <c r="H39" s="106">
        <f>+E39+F39+G39</f>
        <v>0</v>
      </c>
      <c r="I39" s="74"/>
      <c r="J39" s="116"/>
    </row>
    <row r="40" spans="1:10" ht="18.75" customHeight="1">
      <c r="A40" s="208"/>
      <c r="B40" s="486" t="s">
        <v>264</v>
      </c>
      <c r="C40" s="542">
        <v>0</v>
      </c>
      <c r="D40" s="467">
        <v>0</v>
      </c>
      <c r="E40" s="170">
        <f t="shared" si="4"/>
        <v>0</v>
      </c>
      <c r="F40" s="171">
        <f t="shared" si="5"/>
        <v>0</v>
      </c>
      <c r="G40" s="487">
        <f t="shared" si="8"/>
        <v>0</v>
      </c>
      <c r="H40" s="107">
        <f t="shared" si="7"/>
        <v>0</v>
      </c>
      <c r="I40" s="210"/>
      <c r="J40" s="115"/>
    </row>
    <row r="41" spans="1:10" ht="21" customHeight="1">
      <c r="A41" s="19"/>
      <c r="B41" s="65" t="s">
        <v>294</v>
      </c>
      <c r="C41" s="66"/>
      <c r="D41" s="67"/>
      <c r="E41" s="53"/>
      <c r="F41" s="55"/>
      <c r="G41" s="54"/>
      <c r="H41" s="106"/>
      <c r="I41" s="74"/>
      <c r="J41" s="116"/>
    </row>
    <row r="42" spans="1:10" ht="15.75" customHeight="1">
      <c r="A42" s="19"/>
      <c r="B42" s="466" t="s">
        <v>173</v>
      </c>
      <c r="C42" s="544">
        <v>0</v>
      </c>
      <c r="D42" s="548">
        <v>0</v>
      </c>
      <c r="E42" s="488">
        <f>+D42*1/15</f>
        <v>0</v>
      </c>
      <c r="F42" s="175">
        <f>+D42/15</f>
        <v>0</v>
      </c>
      <c r="G42" s="176">
        <f>+(D42/15)*(C42-20)/20+(D42/15)</f>
        <v>0</v>
      </c>
      <c r="H42" s="489">
        <f>+E42+F42+G42</f>
        <v>0</v>
      </c>
      <c r="I42" s="216" t="s">
        <v>299</v>
      </c>
      <c r="J42" s="116"/>
    </row>
    <row r="43" spans="1:10" ht="15.75" customHeight="1" thickBot="1">
      <c r="A43" s="19"/>
      <c r="B43" s="466" t="s">
        <v>265</v>
      </c>
      <c r="C43" s="544">
        <v>0</v>
      </c>
      <c r="D43" s="548">
        <v>0</v>
      </c>
      <c r="E43" s="488">
        <f>+D43*1/15</f>
        <v>0</v>
      </c>
      <c r="F43" s="694">
        <f>+D43/15</f>
        <v>0</v>
      </c>
      <c r="G43" s="696">
        <f>+(D43/15)*(C43-20)/20+(D43/15)</f>
        <v>0</v>
      </c>
      <c r="H43" s="489">
        <f>+E43+F43+G43</f>
        <v>0</v>
      </c>
      <c r="I43" s="75"/>
      <c r="J43" s="116"/>
    </row>
    <row r="44" spans="1:10" ht="18.75" customHeight="1" thickBot="1" thickTop="1">
      <c r="A44" s="19"/>
      <c r="B44" s="466" t="s">
        <v>295</v>
      </c>
      <c r="C44" s="544"/>
      <c r="D44" s="548"/>
      <c r="E44" s="488"/>
      <c r="F44" s="697">
        <v>2</v>
      </c>
      <c r="G44" s="698">
        <v>2</v>
      </c>
      <c r="H44" s="695"/>
      <c r="I44" s="216" t="s">
        <v>298</v>
      </c>
      <c r="J44" s="116"/>
    </row>
    <row r="45" spans="1:10" ht="15.75" customHeight="1" thickTop="1">
      <c r="A45" s="19"/>
      <c r="B45" s="68" t="s">
        <v>297</v>
      </c>
      <c r="C45" s="545">
        <v>0</v>
      </c>
      <c r="D45" s="546">
        <v>0</v>
      </c>
      <c r="E45" s="488">
        <f>+D45*1/15</f>
        <v>0</v>
      </c>
      <c r="F45" s="166">
        <f>+D45/15</f>
        <v>0</v>
      </c>
      <c r="G45" s="167">
        <f>+(D45/15)*(C45-50)/50+(D45/15)</f>
        <v>0</v>
      </c>
      <c r="H45" s="147">
        <f>IF(F44&gt;1,(+E45+F45+G45)*2/F44,0)</f>
        <v>0</v>
      </c>
      <c r="I45" s="216"/>
      <c r="J45" s="116"/>
    </row>
    <row r="46" spans="1:10" ht="15.75" customHeight="1">
      <c r="A46" s="20"/>
      <c r="B46" s="94" t="s">
        <v>296</v>
      </c>
      <c r="C46" s="547">
        <v>0</v>
      </c>
      <c r="D46" s="467">
        <v>0</v>
      </c>
      <c r="E46" s="488">
        <f>+D46*1/15</f>
        <v>0</v>
      </c>
      <c r="F46" s="166">
        <f>+D46/15</f>
        <v>0</v>
      </c>
      <c r="G46" s="176">
        <f>+(D46/15)*(C46-50)/50+(D46/15)</f>
        <v>0</v>
      </c>
      <c r="H46" s="147">
        <f>IF(G44&gt;1,(+E46+F46+G46)*2/G44,0)</f>
        <v>0</v>
      </c>
      <c r="I46" s="217"/>
      <c r="J46" s="116"/>
    </row>
    <row r="47" spans="1:10" ht="15.75" customHeight="1">
      <c r="A47" s="878"/>
      <c r="B47" s="879"/>
      <c r="C47" s="880"/>
      <c r="D47" s="880"/>
      <c r="E47" s="881"/>
      <c r="F47" s="882"/>
      <c r="G47" s="882"/>
      <c r="H47" s="883"/>
      <c r="I47" s="884"/>
      <c r="J47" s="491"/>
    </row>
    <row r="48" spans="1:10" ht="15.75" customHeight="1">
      <c r="A48" s="19"/>
      <c r="B48" s="885"/>
      <c r="C48" s="886"/>
      <c r="D48" s="886"/>
      <c r="E48" s="887"/>
      <c r="F48" s="888"/>
      <c r="G48" s="888"/>
      <c r="H48" s="889"/>
      <c r="I48" s="732"/>
      <c r="J48" s="491"/>
    </row>
    <row r="49" spans="1:10" ht="15.75" customHeight="1">
      <c r="A49" s="19"/>
      <c r="B49" s="885"/>
      <c r="C49" s="886"/>
      <c r="D49" s="886"/>
      <c r="E49" s="887"/>
      <c r="F49" s="888"/>
      <c r="G49" s="888"/>
      <c r="H49" s="889"/>
      <c r="I49" s="732"/>
      <c r="J49" s="491"/>
    </row>
    <row r="50" spans="1:10" ht="15.75" customHeight="1">
      <c r="A50" s="20"/>
      <c r="B50" s="875"/>
      <c r="C50" s="542"/>
      <c r="D50" s="542"/>
      <c r="E50" s="876"/>
      <c r="F50" s="657"/>
      <c r="G50" s="657"/>
      <c r="H50" s="877"/>
      <c r="I50" s="667"/>
      <c r="J50" s="491"/>
    </row>
    <row r="51" spans="1:10" s="474" customFormat="1" ht="5.25" customHeight="1">
      <c r="A51" s="659"/>
      <c r="B51" s="668"/>
      <c r="C51" s="669"/>
      <c r="D51" s="670"/>
      <c r="E51" s="671"/>
      <c r="F51" s="663"/>
      <c r="G51" s="663"/>
      <c r="H51" s="664"/>
      <c r="I51" s="672"/>
      <c r="J51" s="473"/>
    </row>
    <row r="52" spans="1:10" ht="15.75" customHeight="1">
      <c r="A52" s="28"/>
      <c r="B52" s="33" t="s">
        <v>0</v>
      </c>
      <c r="C52" s="37" t="s">
        <v>11</v>
      </c>
      <c r="D52" s="21" t="s">
        <v>33</v>
      </c>
      <c r="E52" s="1036" t="s">
        <v>5</v>
      </c>
      <c r="F52" s="1036"/>
      <c r="G52" s="1036"/>
      <c r="H52" s="42" t="s">
        <v>3</v>
      </c>
      <c r="I52" s="46" t="s">
        <v>390</v>
      </c>
      <c r="J52" s="116"/>
    </row>
    <row r="53" spans="1:10" ht="15.75" customHeight="1">
      <c r="A53" s="617"/>
      <c r="B53" s="618"/>
      <c r="C53" s="34" t="s">
        <v>13</v>
      </c>
      <c r="D53" s="34" t="s">
        <v>7</v>
      </c>
      <c r="E53" s="35" t="s">
        <v>6</v>
      </c>
      <c r="F53" s="27" t="s">
        <v>7</v>
      </c>
      <c r="G53" s="31" t="s">
        <v>8</v>
      </c>
      <c r="H53" s="18"/>
      <c r="I53" s="9"/>
      <c r="J53" s="116"/>
    </row>
    <row r="54" spans="1:10" ht="18" customHeight="1">
      <c r="A54" s="19"/>
      <c r="B54" s="21" t="s">
        <v>174</v>
      </c>
      <c r="C54" s="61"/>
      <c r="D54" s="60"/>
      <c r="E54" s="56"/>
      <c r="F54" s="56"/>
      <c r="G54" s="56"/>
      <c r="H54" s="108"/>
      <c r="I54" s="74"/>
      <c r="J54" s="116"/>
    </row>
    <row r="55" spans="1:10" ht="17.25" customHeight="1">
      <c r="A55" s="19"/>
      <c r="B55" s="69" t="s">
        <v>150</v>
      </c>
      <c r="C55" s="543">
        <v>0</v>
      </c>
      <c r="D55" s="544">
        <v>0</v>
      </c>
      <c r="E55" s="163">
        <f aca="true" t="shared" si="9" ref="E55:E61">+D55*2/60</f>
        <v>0</v>
      </c>
      <c r="F55" s="164">
        <f aca="true" t="shared" si="10" ref="F55:F61">+D55*4/60</f>
        <v>0</v>
      </c>
      <c r="G55" s="167">
        <f aca="true" t="shared" si="11" ref="G55:G66">+(D55/60)*3*(C55-8)/8+(D55*3/60)</f>
        <v>0</v>
      </c>
      <c r="H55" s="106">
        <f aca="true" t="shared" si="12" ref="H55:H66">+E55+F55+G55</f>
        <v>0</v>
      </c>
      <c r="I55" s="75"/>
      <c r="J55" s="116"/>
    </row>
    <row r="56" spans="1:10" ht="17.25" customHeight="1">
      <c r="A56" s="19"/>
      <c r="B56" s="69" t="s">
        <v>151</v>
      </c>
      <c r="C56" s="545">
        <v>0</v>
      </c>
      <c r="D56" s="546">
        <v>0</v>
      </c>
      <c r="E56" s="163">
        <f t="shared" si="9"/>
        <v>0</v>
      </c>
      <c r="F56" s="164">
        <f t="shared" si="10"/>
        <v>0</v>
      </c>
      <c r="G56" s="167">
        <f t="shared" si="11"/>
        <v>0</v>
      </c>
      <c r="H56" s="106">
        <f t="shared" si="12"/>
        <v>0</v>
      </c>
      <c r="I56" s="75"/>
      <c r="J56" s="116"/>
    </row>
    <row r="57" spans="1:10" ht="17.25" customHeight="1">
      <c r="A57" s="19"/>
      <c r="B57" s="72" t="s">
        <v>152</v>
      </c>
      <c r="C57" s="545">
        <v>0</v>
      </c>
      <c r="D57" s="546">
        <v>0</v>
      </c>
      <c r="E57" s="163">
        <f t="shared" si="9"/>
        <v>0</v>
      </c>
      <c r="F57" s="164">
        <f t="shared" si="10"/>
        <v>0</v>
      </c>
      <c r="G57" s="167">
        <f t="shared" si="11"/>
        <v>0</v>
      </c>
      <c r="H57" s="106">
        <f t="shared" si="12"/>
        <v>0</v>
      </c>
      <c r="I57" s="74"/>
      <c r="J57" s="116"/>
    </row>
    <row r="58" spans="1:10" ht="17.25" customHeight="1">
      <c r="A58" s="19"/>
      <c r="B58" s="72" t="s">
        <v>38</v>
      </c>
      <c r="C58" s="545">
        <v>0</v>
      </c>
      <c r="D58" s="546">
        <v>0</v>
      </c>
      <c r="E58" s="163">
        <f t="shared" si="9"/>
        <v>0</v>
      </c>
      <c r="F58" s="164">
        <f t="shared" si="10"/>
        <v>0</v>
      </c>
      <c r="G58" s="167">
        <f t="shared" si="11"/>
        <v>0</v>
      </c>
      <c r="H58" s="106">
        <f t="shared" si="12"/>
        <v>0</v>
      </c>
      <c r="I58" s="74"/>
      <c r="J58" s="116"/>
    </row>
    <row r="59" spans="1:10" ht="17.25" customHeight="1">
      <c r="A59" s="19"/>
      <c r="B59" s="72" t="s">
        <v>56</v>
      </c>
      <c r="C59" s="545">
        <v>0</v>
      </c>
      <c r="D59" s="546">
        <v>0</v>
      </c>
      <c r="E59" s="163">
        <f t="shared" si="9"/>
        <v>0</v>
      </c>
      <c r="F59" s="164">
        <f t="shared" si="10"/>
        <v>0</v>
      </c>
      <c r="G59" s="167">
        <f>+(D59/60)*3*(C59-8)/8+(D59*3/60)</f>
        <v>0</v>
      </c>
      <c r="H59" s="106">
        <f>+E59+F59+G59</f>
        <v>0</v>
      </c>
      <c r="I59" s="74"/>
      <c r="J59" s="116"/>
    </row>
    <row r="60" spans="1:10" ht="17.25" customHeight="1">
      <c r="A60" s="19"/>
      <c r="B60" s="72" t="s">
        <v>266</v>
      </c>
      <c r="C60" s="545">
        <v>0</v>
      </c>
      <c r="D60" s="546">
        <v>0</v>
      </c>
      <c r="E60" s="163">
        <f t="shared" si="9"/>
        <v>0</v>
      </c>
      <c r="F60" s="164">
        <f t="shared" si="10"/>
        <v>0</v>
      </c>
      <c r="G60" s="167">
        <f>+(D60/60)*3*(C60-8)/8+(D60*3/60)</f>
        <v>0</v>
      </c>
      <c r="H60" s="106">
        <f>+E60+F60+G60</f>
        <v>0</v>
      </c>
      <c r="I60" s="74"/>
      <c r="J60" s="116"/>
    </row>
    <row r="61" spans="1:10" ht="17.25" customHeight="1">
      <c r="A61" s="19"/>
      <c r="B61" s="72" t="s">
        <v>267</v>
      </c>
      <c r="C61" s="545">
        <v>0</v>
      </c>
      <c r="D61" s="546">
        <v>0</v>
      </c>
      <c r="E61" s="163">
        <f t="shared" si="9"/>
        <v>0</v>
      </c>
      <c r="F61" s="164">
        <f t="shared" si="10"/>
        <v>0</v>
      </c>
      <c r="G61" s="167">
        <f t="shared" si="11"/>
        <v>0</v>
      </c>
      <c r="H61" s="106">
        <f t="shared" si="12"/>
        <v>0</v>
      </c>
      <c r="I61" s="74"/>
      <c r="J61" s="116"/>
    </row>
    <row r="62" spans="1:10" ht="17.25" customHeight="1">
      <c r="A62" s="653" t="s">
        <v>32</v>
      </c>
      <c r="B62" s="654" t="s">
        <v>277</v>
      </c>
      <c r="C62" s="545">
        <v>0</v>
      </c>
      <c r="D62" s="546">
        <v>0</v>
      </c>
      <c r="E62" s="163">
        <v>0</v>
      </c>
      <c r="F62" s="164">
        <v>0</v>
      </c>
      <c r="G62" s="167">
        <f>+(D62/60)*3*(C62-8)/8+(D62*3/60)</f>
        <v>0</v>
      </c>
      <c r="H62" s="106">
        <f>+E62+F62+G62</f>
        <v>0</v>
      </c>
      <c r="I62" s="726" t="s">
        <v>311</v>
      </c>
      <c r="J62" s="116"/>
    </row>
    <row r="63" spans="1:10" ht="17.25" customHeight="1">
      <c r="A63" s="653" t="s">
        <v>32</v>
      </c>
      <c r="B63" s="654" t="s">
        <v>278</v>
      </c>
      <c r="C63" s="545">
        <v>0</v>
      </c>
      <c r="D63" s="546">
        <v>0</v>
      </c>
      <c r="E63" s="163">
        <v>0</v>
      </c>
      <c r="F63" s="164">
        <v>0</v>
      </c>
      <c r="G63" s="167">
        <f>+(D63/60)*3*(C63-8)/8+(D63*3/60)</f>
        <v>0</v>
      </c>
      <c r="H63" s="106">
        <f>+E63+F63+G63</f>
        <v>0</v>
      </c>
      <c r="I63" s="727" t="s">
        <v>65</v>
      </c>
      <c r="J63" s="116"/>
    </row>
    <row r="64" spans="1:10" ht="17.25" customHeight="1">
      <c r="A64" s="653" t="s">
        <v>32</v>
      </c>
      <c r="B64" s="654" t="s">
        <v>279</v>
      </c>
      <c r="C64" s="545">
        <v>0</v>
      </c>
      <c r="D64" s="546">
        <v>0</v>
      </c>
      <c r="E64" s="163">
        <v>0</v>
      </c>
      <c r="F64" s="164">
        <v>0</v>
      </c>
      <c r="G64" s="167">
        <f t="shared" si="11"/>
        <v>0</v>
      </c>
      <c r="H64" s="106">
        <f t="shared" si="12"/>
        <v>0</v>
      </c>
      <c r="I64" s="90"/>
      <c r="J64" s="116"/>
    </row>
    <row r="65" spans="1:10" ht="17.25" customHeight="1">
      <c r="A65" s="653" t="s">
        <v>32</v>
      </c>
      <c r="B65" s="654" t="s">
        <v>280</v>
      </c>
      <c r="C65" s="545">
        <v>0</v>
      </c>
      <c r="D65" s="546">
        <v>0</v>
      </c>
      <c r="E65" s="163">
        <v>0</v>
      </c>
      <c r="F65" s="164">
        <v>0</v>
      </c>
      <c r="G65" s="167">
        <f t="shared" si="11"/>
        <v>0</v>
      </c>
      <c r="H65" s="106">
        <f t="shared" si="12"/>
        <v>0</v>
      </c>
      <c r="I65" s="90"/>
      <c r="J65" s="116"/>
    </row>
    <row r="66" spans="1:10" ht="17.25" customHeight="1">
      <c r="A66" s="655" t="s">
        <v>32</v>
      </c>
      <c r="B66" s="656" t="s">
        <v>281</v>
      </c>
      <c r="C66" s="547">
        <v>0</v>
      </c>
      <c r="D66" s="467">
        <v>0</v>
      </c>
      <c r="E66" s="168">
        <v>0</v>
      </c>
      <c r="F66" s="174">
        <v>0</v>
      </c>
      <c r="G66" s="169">
        <f t="shared" si="11"/>
        <v>0</v>
      </c>
      <c r="H66" s="505">
        <f t="shared" si="12"/>
        <v>0</v>
      </c>
      <c r="I66" s="506"/>
      <c r="J66" s="115"/>
    </row>
    <row r="67" spans="1:10" ht="18" customHeight="1">
      <c r="A67" s="88">
        <v>1.4</v>
      </c>
      <c r="B67" s="223" t="s">
        <v>60</v>
      </c>
      <c r="C67" s="225"/>
      <c r="D67" s="226"/>
      <c r="E67" s="227"/>
      <c r="F67" s="228"/>
      <c r="G67" s="220"/>
      <c r="H67" s="108"/>
      <c r="I67" s="90"/>
      <c r="J67" s="115"/>
    </row>
    <row r="68" spans="1:10" ht="13.5" customHeight="1">
      <c r="A68" s="88"/>
      <c r="B68" s="223"/>
      <c r="C68" s="589" t="s">
        <v>48</v>
      </c>
      <c r="D68" s="590" t="s">
        <v>49</v>
      </c>
      <c r="E68" s="218"/>
      <c r="F68" s="214"/>
      <c r="G68" s="214"/>
      <c r="H68" s="108"/>
      <c r="I68" s="90"/>
      <c r="J68" s="115"/>
    </row>
    <row r="69" spans="1:10" ht="18" customHeight="1">
      <c r="A69" s="12"/>
      <c r="B69" s="591" t="s">
        <v>224</v>
      </c>
      <c r="C69" s="592">
        <v>0</v>
      </c>
      <c r="D69" s="593">
        <v>0</v>
      </c>
      <c r="E69" s="594" t="s">
        <v>2</v>
      </c>
      <c r="F69" s="595" t="s">
        <v>2</v>
      </c>
      <c r="G69" s="595" t="s">
        <v>2</v>
      </c>
      <c r="H69" s="596">
        <f>+C69*D69*0.25</f>
        <v>0</v>
      </c>
      <c r="I69" s="728"/>
      <c r="J69" s="115"/>
    </row>
    <row r="70" spans="1:10" ht="18.75" customHeight="1">
      <c r="A70" s="11"/>
      <c r="B70" s="597" t="s">
        <v>225</v>
      </c>
      <c r="C70" s="598">
        <v>0</v>
      </c>
      <c r="D70" s="599">
        <v>0</v>
      </c>
      <c r="E70" s="600" t="s">
        <v>2</v>
      </c>
      <c r="F70" s="601" t="s">
        <v>2</v>
      </c>
      <c r="G70" s="601" t="s">
        <v>2</v>
      </c>
      <c r="H70" s="602">
        <f>+C70*D70*0.25</f>
        <v>0</v>
      </c>
      <c r="I70" s="506"/>
      <c r="J70" s="115"/>
    </row>
    <row r="71" spans="1:10" ht="18" customHeight="1">
      <c r="A71" s="22"/>
      <c r="B71" s="49" t="s">
        <v>300</v>
      </c>
      <c r="C71" s="209"/>
      <c r="D71" s="209"/>
      <c r="E71" s="209"/>
      <c r="F71" s="209"/>
      <c r="G71" s="209"/>
      <c r="H71" s="109">
        <f>SUM(H8:H70)</f>
        <v>0</v>
      </c>
      <c r="I71" s="76" t="s">
        <v>15</v>
      </c>
      <c r="J71" s="117"/>
    </row>
    <row r="72" spans="1:10" ht="18" customHeight="1">
      <c r="A72" s="22"/>
      <c r="B72" s="509" t="s">
        <v>302</v>
      </c>
      <c r="C72" s="699">
        <f>(SUM(D8:D22)+SUM(D42:D46))/15</f>
        <v>0</v>
      </c>
      <c r="D72" s="699">
        <f>SUM(D25:D40)/30</f>
        <v>0</v>
      </c>
      <c r="E72" s="699">
        <f>SUM(D55:D61)/30</f>
        <v>0</v>
      </c>
      <c r="F72" s="700" t="s">
        <v>301</v>
      </c>
      <c r="G72" s="703">
        <f>C72+D72+E72</f>
        <v>0</v>
      </c>
      <c r="H72" s="701"/>
      <c r="I72" s="702"/>
      <c r="J72" s="116"/>
    </row>
    <row r="73" spans="1:15" ht="4.5" customHeight="1">
      <c r="A73" s="139"/>
      <c r="B73" s="140"/>
      <c r="C73" s="141"/>
      <c r="D73" s="142"/>
      <c r="E73" s="143"/>
      <c r="F73" s="143"/>
      <c r="G73" s="143"/>
      <c r="H73" s="144"/>
      <c r="I73" s="145"/>
      <c r="J73" s="146"/>
      <c r="K73" s="10"/>
      <c r="L73" s="10"/>
      <c r="M73" s="10"/>
      <c r="N73" s="10"/>
      <c r="O73" s="10"/>
    </row>
    <row r="74" spans="1:10" ht="19.5" customHeight="1">
      <c r="A74" s="122"/>
      <c r="B74" s="123" t="s">
        <v>0</v>
      </c>
      <c r="C74" s="124" t="s">
        <v>9</v>
      </c>
      <c r="D74" s="125" t="s">
        <v>33</v>
      </c>
      <c r="E74" s="1037" t="s">
        <v>5</v>
      </c>
      <c r="F74" s="1037"/>
      <c r="G74" s="1037"/>
      <c r="H74" s="126" t="s">
        <v>3</v>
      </c>
      <c r="I74" s="150" t="s">
        <v>288</v>
      </c>
      <c r="J74" s="116"/>
    </row>
    <row r="75" spans="1:10" ht="15.75" customHeight="1">
      <c r="A75" s="127"/>
      <c r="B75" s="128"/>
      <c r="C75" s="129"/>
      <c r="D75" s="129" t="s">
        <v>7</v>
      </c>
      <c r="E75" s="130" t="s">
        <v>6</v>
      </c>
      <c r="F75" s="131" t="s">
        <v>7</v>
      </c>
      <c r="G75" s="132" t="s">
        <v>8</v>
      </c>
      <c r="H75" s="133"/>
      <c r="I75" s="121"/>
      <c r="J75" s="116"/>
    </row>
    <row r="76" spans="1:10" ht="19.5" customHeight="1">
      <c r="A76" s="134">
        <v>1.2</v>
      </c>
      <c r="B76" s="135" t="s">
        <v>46</v>
      </c>
      <c r="C76" s="119"/>
      <c r="D76" s="119"/>
      <c r="E76" s="120"/>
      <c r="F76" s="120"/>
      <c r="G76" s="120"/>
      <c r="H76" s="100"/>
      <c r="I76" s="136"/>
      <c r="J76" s="116"/>
    </row>
    <row r="77" spans="1:10" ht="19.5" customHeight="1">
      <c r="A77" s="211" t="s">
        <v>68</v>
      </c>
      <c r="B77" s="137" t="s">
        <v>175</v>
      </c>
      <c r="C77" s="119"/>
      <c r="D77" s="119"/>
      <c r="E77" s="120"/>
      <c r="F77" s="120"/>
      <c r="G77" s="120"/>
      <c r="H77" s="100"/>
      <c r="I77" s="121"/>
      <c r="J77" s="116"/>
    </row>
    <row r="78" spans="1:10" ht="17.25" customHeight="1">
      <c r="A78" s="24"/>
      <c r="B78" s="477" t="s">
        <v>246</v>
      </c>
      <c r="C78" s="519">
        <v>0</v>
      </c>
      <c r="D78" s="520">
        <v>0</v>
      </c>
      <c r="E78" s="677">
        <f>IF(C78&gt;20,(2*D78/15),(C78*(2/20)*D78/15))</f>
        <v>0</v>
      </c>
      <c r="F78" s="678">
        <f aca="true" t="shared" si="13" ref="F78:F84">+D78*1/15</f>
        <v>0</v>
      </c>
      <c r="G78" s="679">
        <f>+(D78/15)*1*(C78-20)/20+(D78*1/15)</f>
        <v>0</v>
      </c>
      <c r="H78" s="524">
        <f aca="true" t="shared" si="14" ref="H78:H84">+E78+F78+G78</f>
        <v>0</v>
      </c>
      <c r="I78" s="729" t="s">
        <v>156</v>
      </c>
      <c r="J78" s="116"/>
    </row>
    <row r="79" spans="1:10" ht="17.25" customHeight="1">
      <c r="A79" s="24"/>
      <c r="B79" s="477" t="s">
        <v>157</v>
      </c>
      <c r="C79" s="525">
        <v>0</v>
      </c>
      <c r="D79" s="526">
        <v>0</v>
      </c>
      <c r="E79" s="677">
        <f>IF(C79&gt;20,(2*D79/15),(C79*(2/20)*D79/15))</f>
        <v>0</v>
      </c>
      <c r="F79" s="678">
        <f t="shared" si="13"/>
        <v>0</v>
      </c>
      <c r="G79" s="679">
        <f>+(D79/15)*1*(C79-20)/20+(D79*1/15)</f>
        <v>0</v>
      </c>
      <c r="H79" s="524">
        <f t="shared" si="14"/>
        <v>0</v>
      </c>
      <c r="I79" s="476"/>
      <c r="J79" s="116"/>
    </row>
    <row r="80" spans="1:10" s="474" customFormat="1" ht="17.25" customHeight="1">
      <c r="A80" s="475"/>
      <c r="B80" s="478" t="s">
        <v>158</v>
      </c>
      <c r="C80" s="533">
        <v>0</v>
      </c>
      <c r="D80" s="534">
        <v>0</v>
      </c>
      <c r="E80" s="677">
        <f>IF(C80&gt;20,(2*D80/15),(C80*(2/20)*D80/15))</f>
        <v>0</v>
      </c>
      <c r="F80" s="678">
        <f t="shared" si="13"/>
        <v>0</v>
      </c>
      <c r="G80" s="679">
        <f>+(D80/15)*1*(C80-20)/20+(D80*1/15)</f>
        <v>0</v>
      </c>
      <c r="H80" s="524">
        <f t="shared" si="14"/>
        <v>0</v>
      </c>
      <c r="I80" s="476"/>
      <c r="J80" s="473"/>
    </row>
    <row r="81" spans="1:10" ht="17.25" customHeight="1">
      <c r="A81" s="19"/>
      <c r="B81" s="479" t="s">
        <v>159</v>
      </c>
      <c r="C81" s="535">
        <v>0</v>
      </c>
      <c r="D81" s="536">
        <v>0</v>
      </c>
      <c r="E81" s="528">
        <f>IF(C81&gt;15,(2*D81/15),(C81*(2/15)*D81/15))</f>
        <v>0</v>
      </c>
      <c r="F81" s="529">
        <f t="shared" si="13"/>
        <v>0</v>
      </c>
      <c r="G81" s="530">
        <f>+(D81/15)*1*(C81-15)/15+(D81*1/15)</f>
        <v>0</v>
      </c>
      <c r="H81" s="531">
        <f t="shared" si="14"/>
        <v>0</v>
      </c>
      <c r="I81" s="730" t="s">
        <v>155</v>
      </c>
      <c r="J81" s="116"/>
    </row>
    <row r="82" spans="1:10" ht="17.25" customHeight="1">
      <c r="A82" s="19"/>
      <c r="B82" s="479" t="s">
        <v>160</v>
      </c>
      <c r="C82" s="517">
        <v>0</v>
      </c>
      <c r="D82" s="518">
        <v>0</v>
      </c>
      <c r="E82" s="528">
        <f>IF(C82&gt;15,(2*D82/15),(C82*(2/15)*D82/15))</f>
        <v>0</v>
      </c>
      <c r="F82" s="529">
        <f t="shared" si="13"/>
        <v>0</v>
      </c>
      <c r="G82" s="530">
        <f>+(D82/15)*1*(C82-15)/15+(D82*1/15)</f>
        <v>0</v>
      </c>
      <c r="H82" s="531">
        <f t="shared" si="14"/>
        <v>0</v>
      </c>
      <c r="I82" s="476"/>
      <c r="J82" s="116"/>
    </row>
    <row r="83" spans="1:10" ht="17.25" customHeight="1">
      <c r="A83" s="19"/>
      <c r="B83" s="479" t="s">
        <v>161</v>
      </c>
      <c r="C83" s="517">
        <v>0</v>
      </c>
      <c r="D83" s="518">
        <v>0</v>
      </c>
      <c r="E83" s="528">
        <f>IF(C83&gt;15,(2*D83/15),(C83*(2/15)*D83/15))</f>
        <v>0</v>
      </c>
      <c r="F83" s="529">
        <f t="shared" si="13"/>
        <v>0</v>
      </c>
      <c r="G83" s="530">
        <f>+(D83/15)*1*(C83-15)/15+(D83*1/15)</f>
        <v>0</v>
      </c>
      <c r="H83" s="531">
        <f t="shared" si="14"/>
        <v>0</v>
      </c>
      <c r="I83" s="476"/>
      <c r="J83" s="116"/>
    </row>
    <row r="84" spans="1:10" ht="17.25" customHeight="1">
      <c r="A84" s="20"/>
      <c r="B84" s="490" t="s">
        <v>162</v>
      </c>
      <c r="C84" s="95">
        <v>0</v>
      </c>
      <c r="D84" s="96">
        <v>0</v>
      </c>
      <c r="E84" s="680">
        <f>IF(C84&gt;15,(2*D84/15),(C84*(2/15)*D84/15))</f>
        <v>0</v>
      </c>
      <c r="F84" s="681">
        <f t="shared" si="13"/>
        <v>0</v>
      </c>
      <c r="G84" s="682">
        <f>+(D84/15)*1*(C84-15)/15+(D84*1/15)</f>
        <v>0</v>
      </c>
      <c r="H84" s="537">
        <f t="shared" si="14"/>
        <v>0</v>
      </c>
      <c r="I84" s="731"/>
      <c r="J84" s="116"/>
    </row>
    <row r="85" spans="1:11" ht="17.25" customHeight="1">
      <c r="A85" s="19"/>
      <c r="B85" s="21" t="s">
        <v>282</v>
      </c>
      <c r="C85" s="60"/>
      <c r="D85" s="60"/>
      <c r="E85" s="56"/>
      <c r="F85" s="57"/>
      <c r="G85" s="56"/>
      <c r="H85" s="676"/>
      <c r="I85" s="74"/>
      <c r="J85" s="116"/>
      <c r="K85" s="74"/>
    </row>
    <row r="86" spans="1:11" ht="17.25" customHeight="1">
      <c r="A86" s="19"/>
      <c r="B86" s="69" t="s">
        <v>200</v>
      </c>
      <c r="C86" s="549">
        <v>0</v>
      </c>
      <c r="D86" s="550">
        <v>0</v>
      </c>
      <c r="E86" s="163">
        <f>IF(C86&gt;10,(2*D86/30),(C86*(2/10)*D86/30))</f>
        <v>0</v>
      </c>
      <c r="F86" s="164">
        <f>+D86*3/30</f>
        <v>0</v>
      </c>
      <c r="G86" s="167">
        <f>+(D86/30)*1*(C86-10)/10+(D86*1/30)</f>
        <v>0</v>
      </c>
      <c r="H86" s="106">
        <f>+E86+F86+G86</f>
        <v>0</v>
      </c>
      <c r="I86" s="476"/>
      <c r="J86" s="116"/>
      <c r="K86" s="472"/>
    </row>
    <row r="87" spans="1:11" ht="17.25" customHeight="1">
      <c r="A87" s="19"/>
      <c r="B87" s="69" t="s">
        <v>201</v>
      </c>
      <c r="C87" s="551">
        <v>0</v>
      </c>
      <c r="D87" s="552">
        <v>0</v>
      </c>
      <c r="E87" s="163">
        <f>IF(C87&gt;10,(2*D87/30),(C87*(2/10)*D87/30))</f>
        <v>0</v>
      </c>
      <c r="F87" s="164">
        <f>+D87*3/30</f>
        <v>0</v>
      </c>
      <c r="G87" s="167">
        <f>+(D87/30)*1*(C87-10)/10+(D87*1/30)</f>
        <v>0</v>
      </c>
      <c r="H87" s="106">
        <f>+E87+F87+G87</f>
        <v>0</v>
      </c>
      <c r="I87" s="476"/>
      <c r="J87" s="116"/>
      <c r="K87" s="471"/>
    </row>
    <row r="88" spans="1:11" ht="17.25" customHeight="1">
      <c r="A88" s="208"/>
      <c r="B88" s="70" t="s">
        <v>202</v>
      </c>
      <c r="C88" s="95">
        <v>0</v>
      </c>
      <c r="D88" s="96">
        <v>0</v>
      </c>
      <c r="E88" s="163">
        <f>IF(C88&gt;10,(2*D88/30),(C88*(2/10)*D88/30))</f>
        <v>0</v>
      </c>
      <c r="F88" s="164">
        <f>+D88*3/30</f>
        <v>0</v>
      </c>
      <c r="G88" s="167">
        <f>+(D88/30)*1*(C88-10)/10+(D88*1/30)</f>
        <v>0</v>
      </c>
      <c r="H88" s="107">
        <f>+E88+F88+G88</f>
        <v>0</v>
      </c>
      <c r="I88" s="731"/>
      <c r="J88" s="116"/>
      <c r="K88" s="732"/>
    </row>
    <row r="89" spans="1:10" ht="19.5" customHeight="1">
      <c r="A89" s="19"/>
      <c r="B89" s="118" t="s">
        <v>66</v>
      </c>
      <c r="C89" s="119"/>
      <c r="D89" s="119"/>
      <c r="E89" s="120"/>
      <c r="F89" s="103"/>
      <c r="G89" s="120"/>
      <c r="H89" s="108"/>
      <c r="I89" s="121"/>
      <c r="J89" s="116"/>
    </row>
    <row r="90" spans="1:10" ht="16.5" customHeight="1">
      <c r="A90" s="25"/>
      <c r="B90" s="73" t="s">
        <v>204</v>
      </c>
      <c r="C90" s="519">
        <v>0</v>
      </c>
      <c r="D90" s="520">
        <v>0</v>
      </c>
      <c r="E90" s="521">
        <f>IF(C90&gt;5,(4*D90/15),(C90*(4/5)*D90/15))</f>
        <v>0</v>
      </c>
      <c r="F90" s="522">
        <f>+D90*1/15</f>
        <v>0</v>
      </c>
      <c r="G90" s="523">
        <f>+(D90/15)*1*(C90-5)/5+(D90*1/15)</f>
        <v>0</v>
      </c>
      <c r="H90" s="524">
        <f>+E90+F90+G90</f>
        <v>0</v>
      </c>
      <c r="I90" s="733"/>
      <c r="J90" s="116"/>
    </row>
    <row r="91" spans="1:10" ht="16.5" customHeight="1">
      <c r="A91" s="19"/>
      <c r="B91" s="69" t="s">
        <v>203</v>
      </c>
      <c r="C91" s="525">
        <v>0</v>
      </c>
      <c r="D91" s="526">
        <v>0</v>
      </c>
      <c r="E91" s="521">
        <f aca="true" t="shared" si="15" ref="E91:E96">IF(C91&gt;5,(4*D91/15),(C91*(4/5)*D91/15))</f>
        <v>0</v>
      </c>
      <c r="F91" s="522">
        <f aca="true" t="shared" si="16" ref="F91:F96">+D91*1/15</f>
        <v>0</v>
      </c>
      <c r="G91" s="523">
        <f aca="true" t="shared" si="17" ref="G91:G96">+(D91/15)*1*(C91-5)/5+(D91*1/15)</f>
        <v>0</v>
      </c>
      <c r="H91" s="527">
        <f aca="true" t="shared" si="18" ref="H91:H96">+E91+F91+G91</f>
        <v>0</v>
      </c>
      <c r="I91" s="480"/>
      <c r="J91" s="116"/>
    </row>
    <row r="92" spans="1:10" ht="16.5" customHeight="1">
      <c r="A92" s="19"/>
      <c r="B92" s="69" t="s">
        <v>205</v>
      </c>
      <c r="C92" s="525">
        <v>0</v>
      </c>
      <c r="D92" s="526">
        <v>0</v>
      </c>
      <c r="E92" s="521">
        <f t="shared" si="15"/>
        <v>0</v>
      </c>
      <c r="F92" s="522">
        <f t="shared" si="16"/>
        <v>0</v>
      </c>
      <c r="G92" s="523">
        <f t="shared" si="17"/>
        <v>0</v>
      </c>
      <c r="H92" s="527">
        <f t="shared" si="18"/>
        <v>0</v>
      </c>
      <c r="I92" s="480"/>
      <c r="J92" s="116"/>
    </row>
    <row r="93" spans="1:10" ht="16.5" customHeight="1">
      <c r="A93" s="19"/>
      <c r="B93" s="69" t="s">
        <v>206</v>
      </c>
      <c r="C93" s="515">
        <v>0</v>
      </c>
      <c r="D93" s="516">
        <v>0</v>
      </c>
      <c r="E93" s="521">
        <f t="shared" si="15"/>
        <v>0</v>
      </c>
      <c r="F93" s="522">
        <f t="shared" si="16"/>
        <v>0</v>
      </c>
      <c r="G93" s="523">
        <f t="shared" si="17"/>
        <v>0</v>
      </c>
      <c r="H93" s="531">
        <f t="shared" si="18"/>
        <v>0</v>
      </c>
      <c r="I93" s="730"/>
      <c r="J93" s="116"/>
    </row>
    <row r="94" spans="1:10" ht="16.5" customHeight="1">
      <c r="A94" s="19"/>
      <c r="B94" s="69" t="s">
        <v>207</v>
      </c>
      <c r="C94" s="517">
        <v>0</v>
      </c>
      <c r="D94" s="518">
        <v>0</v>
      </c>
      <c r="E94" s="521">
        <f t="shared" si="15"/>
        <v>0</v>
      </c>
      <c r="F94" s="522">
        <f t="shared" si="16"/>
        <v>0</v>
      </c>
      <c r="G94" s="523">
        <f t="shared" si="17"/>
        <v>0</v>
      </c>
      <c r="H94" s="532">
        <f t="shared" si="18"/>
        <v>0</v>
      </c>
      <c r="I94" s="480"/>
      <c r="J94" s="116"/>
    </row>
    <row r="95" spans="1:10" ht="16.5" customHeight="1">
      <c r="A95" s="19"/>
      <c r="B95" s="69" t="s">
        <v>208</v>
      </c>
      <c r="C95" s="517">
        <v>0</v>
      </c>
      <c r="D95" s="518">
        <v>0</v>
      </c>
      <c r="E95" s="521">
        <f t="shared" si="15"/>
        <v>0</v>
      </c>
      <c r="F95" s="522">
        <f t="shared" si="16"/>
        <v>0</v>
      </c>
      <c r="G95" s="523">
        <f t="shared" si="17"/>
        <v>0</v>
      </c>
      <c r="H95" s="532">
        <f t="shared" si="18"/>
        <v>0</v>
      </c>
      <c r="I95" s="480"/>
      <c r="J95" s="116"/>
    </row>
    <row r="96" spans="1:10" ht="16.5" customHeight="1">
      <c r="A96" s="208"/>
      <c r="B96" s="70" t="s">
        <v>209</v>
      </c>
      <c r="C96" s="95">
        <v>0</v>
      </c>
      <c r="D96" s="96">
        <v>0</v>
      </c>
      <c r="E96" s="983">
        <f t="shared" si="15"/>
        <v>0</v>
      </c>
      <c r="F96" s="984">
        <f t="shared" si="16"/>
        <v>0</v>
      </c>
      <c r="G96" s="985">
        <f t="shared" si="17"/>
        <v>0</v>
      </c>
      <c r="H96" s="148">
        <f t="shared" si="18"/>
        <v>0</v>
      </c>
      <c r="I96" s="658"/>
      <c r="J96" s="115"/>
    </row>
    <row r="97" spans="1:10" ht="16.5" customHeight="1">
      <c r="A97" s="20"/>
      <c r="B97" s="686" t="s">
        <v>3</v>
      </c>
      <c r="C97" s="95"/>
      <c r="D97" s="96"/>
      <c r="E97" s="657"/>
      <c r="F97" s="657"/>
      <c r="G97" s="657"/>
      <c r="H97" s="685"/>
      <c r="I97" s="482"/>
      <c r="J97" s="116"/>
    </row>
    <row r="98" spans="1:10" s="6" customFormat="1" ht="6" customHeight="1">
      <c r="A98" s="659"/>
      <c r="B98" s="660"/>
      <c r="C98" s="661"/>
      <c r="D98" s="662"/>
      <c r="E98" s="663"/>
      <c r="F98" s="663"/>
      <c r="G98" s="663"/>
      <c r="H98" s="664"/>
      <c r="I98" s="665"/>
      <c r="J98" s="115"/>
    </row>
    <row r="99" spans="1:10" ht="16.5" customHeight="1">
      <c r="A99" s="122"/>
      <c r="B99" s="123" t="s">
        <v>0</v>
      </c>
      <c r="C99" s="124" t="s">
        <v>9</v>
      </c>
      <c r="D99" s="125" t="s">
        <v>33</v>
      </c>
      <c r="E99" s="1038" t="s">
        <v>5</v>
      </c>
      <c r="F99" s="1039"/>
      <c r="G99" s="1040"/>
      <c r="H99" s="126" t="s">
        <v>3</v>
      </c>
      <c r="I99" s="150" t="s">
        <v>391</v>
      </c>
      <c r="J99" s="116"/>
    </row>
    <row r="100" spans="1:10" ht="19.5" customHeight="1">
      <c r="A100" s="127"/>
      <c r="B100" s="128"/>
      <c r="C100" s="129"/>
      <c r="D100" s="129" t="s">
        <v>7</v>
      </c>
      <c r="E100" s="130" t="s">
        <v>6</v>
      </c>
      <c r="F100" s="131" t="s">
        <v>7</v>
      </c>
      <c r="G100" s="132" t="s">
        <v>8</v>
      </c>
      <c r="H100" s="133"/>
      <c r="I100" s="636"/>
      <c r="J100" s="116"/>
    </row>
    <row r="101" spans="1:10" ht="19.5" customHeight="1">
      <c r="A101" s="122"/>
      <c r="B101" s="21" t="s">
        <v>410</v>
      </c>
      <c r="C101" s="704"/>
      <c r="D101" s="124"/>
      <c r="E101" s="705"/>
      <c r="F101" s="705"/>
      <c r="G101" s="706"/>
      <c r="H101" s="707"/>
      <c r="I101" s="74"/>
      <c r="J101" s="116"/>
    </row>
    <row r="102" spans="1:10" ht="17.25" customHeight="1">
      <c r="A102" s="19"/>
      <c r="B102" s="21" t="s">
        <v>303</v>
      </c>
      <c r="C102" s="62"/>
      <c r="D102" s="61"/>
      <c r="E102" s="59"/>
      <c r="F102" s="59"/>
      <c r="G102" s="56"/>
      <c r="H102" s="110"/>
      <c r="I102" s="74"/>
      <c r="J102" s="116"/>
    </row>
    <row r="103" spans="1:10" ht="17.25" customHeight="1">
      <c r="A103" s="19"/>
      <c r="B103" s="69" t="s">
        <v>52</v>
      </c>
      <c r="C103" s="1013">
        <v>0</v>
      </c>
      <c r="D103" s="1013">
        <v>0</v>
      </c>
      <c r="E103" s="1005">
        <f>IF(C103&gt;5,(2*D103/45),(C103*(2/5)*D103/45))</f>
        <v>0</v>
      </c>
      <c r="F103" s="1006">
        <f>+D103*4/45</f>
        <v>0</v>
      </c>
      <c r="G103" s="1007">
        <f>+(D103/45)*3*(C103-5)/5+(D103*3/45)</f>
        <v>0</v>
      </c>
      <c r="H103" s="1022">
        <f>+E103+F103+G103</f>
        <v>0</v>
      </c>
      <c r="I103" s="472"/>
      <c r="J103" s="491"/>
    </row>
    <row r="104" spans="1:10" ht="17.25" customHeight="1">
      <c r="A104" s="19"/>
      <c r="B104" s="69" t="s">
        <v>40</v>
      </c>
      <c r="C104" s="550">
        <v>0</v>
      </c>
      <c r="D104" s="550">
        <v>0</v>
      </c>
      <c r="E104" s="163">
        <f>IF(C104&gt;5,(2*D104/45),(C104*(2/5)*D104/45))</f>
        <v>0</v>
      </c>
      <c r="F104" s="164">
        <f>+D104*4/45</f>
        <v>0</v>
      </c>
      <c r="G104" s="167">
        <f>+(D104/45)*3*(C104-5)/5+(D104*3/45)</f>
        <v>0</v>
      </c>
      <c r="H104" s="106">
        <f>+E104+F104+G104</f>
        <v>0</v>
      </c>
      <c r="I104" s="471"/>
      <c r="J104" s="116"/>
    </row>
    <row r="105" spans="1:10" ht="17.25" customHeight="1">
      <c r="A105" s="19"/>
      <c r="B105" s="69" t="s">
        <v>39</v>
      </c>
      <c r="C105" s="1004">
        <v>0</v>
      </c>
      <c r="D105" s="1004">
        <v>0</v>
      </c>
      <c r="E105" s="1019">
        <f>IF(C105&gt;5,(2*D105/60),(C105*(2/5)*D105/60))</f>
        <v>0</v>
      </c>
      <c r="F105" s="1020">
        <f>+D105*4/60</f>
        <v>0</v>
      </c>
      <c r="G105" s="696">
        <f>+(D105/60)*3*(C105-5)/5+(D105*3/60)</f>
        <v>0</v>
      </c>
      <c r="H105" s="1021">
        <f>+E105+F105+G105</f>
        <v>0</v>
      </c>
      <c r="I105" s="75" t="s">
        <v>412</v>
      </c>
      <c r="J105" s="116"/>
    </row>
    <row r="106" spans="1:10" ht="17.25" customHeight="1">
      <c r="A106" s="20"/>
      <c r="B106" s="70" t="s">
        <v>411</v>
      </c>
      <c r="C106" s="96">
        <v>0</v>
      </c>
      <c r="D106" s="96">
        <v>0</v>
      </c>
      <c r="E106" s="168">
        <f>IF(C106&gt;5,(2*D106/60),(C106*(2/5)*D106/60))</f>
        <v>0</v>
      </c>
      <c r="F106" s="174">
        <f>+D106*4/60</f>
        <v>0</v>
      </c>
      <c r="G106" s="169">
        <f>+(D106/60)*3*(C106-5)/5+(D106*3/60)</f>
        <v>0</v>
      </c>
      <c r="H106" s="505">
        <f>+E106+F106+G106</f>
        <v>0</v>
      </c>
      <c r="I106" s="93" t="s">
        <v>413</v>
      </c>
      <c r="J106" s="116"/>
    </row>
    <row r="107" spans="1:10" ht="17.25" customHeight="1">
      <c r="A107" s="22"/>
      <c r="B107" s="683" t="s">
        <v>304</v>
      </c>
      <c r="C107" s="684"/>
      <c r="D107" s="684"/>
      <c r="E107" s="586"/>
      <c r="F107" s="586"/>
      <c r="G107" s="586"/>
      <c r="H107" s="708">
        <f>SUM(H78:H106)</f>
        <v>0</v>
      </c>
      <c r="I107" s="675"/>
      <c r="J107" s="491"/>
    </row>
    <row r="108" spans="1:10" ht="17.25" customHeight="1">
      <c r="A108" s="20"/>
      <c r="B108" s="513" t="s">
        <v>312</v>
      </c>
      <c r="C108" s="1025">
        <f>(SUM(D78:D84)+SUM(D90:D96))/15</f>
        <v>0</v>
      </c>
      <c r="D108" s="1025">
        <f>(SUM(D86:D88))/30</f>
        <v>0</v>
      </c>
      <c r="E108" s="1025">
        <f>((D103+D104)*2/45)+((D105+D106)/30)</f>
        <v>0</v>
      </c>
      <c r="F108" s="1026" t="s">
        <v>305</v>
      </c>
      <c r="G108" s="1027">
        <f>C108+D108+E108</f>
        <v>0</v>
      </c>
      <c r="H108" s="666"/>
      <c r="I108" s="667"/>
      <c r="J108" s="491"/>
    </row>
    <row r="109" spans="1:10" ht="19.5" customHeight="1">
      <c r="A109" s="122"/>
      <c r="B109" s="123" t="s">
        <v>0</v>
      </c>
      <c r="C109" s="124" t="s">
        <v>9</v>
      </c>
      <c r="D109" s="125" t="s">
        <v>33</v>
      </c>
      <c r="E109" s="1041" t="s">
        <v>5</v>
      </c>
      <c r="F109" s="1037"/>
      <c r="G109" s="1042"/>
      <c r="H109" s="637" t="s">
        <v>3</v>
      </c>
      <c r="I109" s="638" t="s">
        <v>283</v>
      </c>
      <c r="J109" s="116"/>
    </row>
    <row r="110" spans="1:10" ht="17.25" customHeight="1">
      <c r="A110" s="127"/>
      <c r="B110" s="128"/>
      <c r="C110" s="129"/>
      <c r="D110" s="129" t="s">
        <v>7</v>
      </c>
      <c r="E110" s="130" t="s">
        <v>6</v>
      </c>
      <c r="F110" s="131" t="s">
        <v>7</v>
      </c>
      <c r="G110" s="132" t="s">
        <v>8</v>
      </c>
      <c r="H110" s="133"/>
      <c r="I110" s="636"/>
      <c r="J110" s="116"/>
    </row>
    <row r="111" spans="1:15" ht="18.75">
      <c r="A111" s="12">
        <v>1.3</v>
      </c>
      <c r="B111" s="223" t="s">
        <v>61</v>
      </c>
      <c r="C111" s="224" t="s">
        <v>45</v>
      </c>
      <c r="D111" s="224" t="s">
        <v>47</v>
      </c>
      <c r="E111" s="218"/>
      <c r="F111" s="215" t="s">
        <v>71</v>
      </c>
      <c r="G111" s="219"/>
      <c r="H111" s="108"/>
      <c r="I111" s="121" t="s">
        <v>134</v>
      </c>
      <c r="J111" s="504"/>
      <c r="K111" s="13"/>
      <c r="L111" s="13"/>
      <c r="M111" s="13"/>
      <c r="N111" s="13"/>
      <c r="O111" s="13"/>
    </row>
    <row r="112" spans="1:15" ht="18.75">
      <c r="A112" s="12"/>
      <c r="B112" s="91" t="s">
        <v>198</v>
      </c>
      <c r="C112" s="97">
        <v>0</v>
      </c>
      <c r="D112" s="97">
        <v>0</v>
      </c>
      <c r="E112" s="218" t="s">
        <v>2</v>
      </c>
      <c r="F112" s="214">
        <f>C112+D112</f>
        <v>0</v>
      </c>
      <c r="G112" s="220" t="s">
        <v>2</v>
      </c>
      <c r="H112" s="108">
        <f>+(C112+D112)*0.07*1</f>
        <v>0</v>
      </c>
      <c r="I112" s="121" t="s">
        <v>135</v>
      </c>
      <c r="J112" s="504"/>
      <c r="K112" s="13"/>
      <c r="L112" s="13"/>
      <c r="M112" s="13"/>
      <c r="N112" s="13"/>
      <c r="O112" s="13"/>
    </row>
    <row r="113" spans="1:15" ht="18.75">
      <c r="A113" s="12"/>
      <c r="B113" s="91" t="s">
        <v>199</v>
      </c>
      <c r="C113" s="97">
        <v>0</v>
      </c>
      <c r="D113" s="97">
        <v>0</v>
      </c>
      <c r="E113" s="218" t="s">
        <v>2</v>
      </c>
      <c r="F113" s="214">
        <f>C113+D113</f>
        <v>0</v>
      </c>
      <c r="G113" s="220" t="s">
        <v>2</v>
      </c>
      <c r="H113" s="108">
        <f>+(C113+D113)*0.07*1</f>
        <v>0</v>
      </c>
      <c r="I113" s="222" t="s">
        <v>67</v>
      </c>
      <c r="J113" s="504"/>
      <c r="K113" s="13"/>
      <c r="L113" s="13"/>
      <c r="M113" s="13"/>
      <c r="N113" s="13"/>
      <c r="O113" s="13"/>
    </row>
    <row r="114" spans="1:15" ht="18.75">
      <c r="A114" s="12"/>
      <c r="B114" s="91" t="s">
        <v>310</v>
      </c>
      <c r="C114" s="97">
        <v>0</v>
      </c>
      <c r="D114" s="97">
        <v>0</v>
      </c>
      <c r="E114" s="218" t="s">
        <v>2</v>
      </c>
      <c r="F114" s="214">
        <f>C114+D114</f>
        <v>0</v>
      </c>
      <c r="G114" s="220" t="s">
        <v>2</v>
      </c>
      <c r="H114" s="108">
        <f>+(C114+D114)*0.07*1</f>
        <v>0</v>
      </c>
      <c r="I114" s="210"/>
      <c r="J114" s="504"/>
      <c r="K114" s="13"/>
      <c r="L114" s="13"/>
      <c r="M114" s="13"/>
      <c r="N114" s="13"/>
      <c r="O114" s="13"/>
    </row>
    <row r="115" spans="1:15" ht="17.25" customHeight="1">
      <c r="A115" s="717"/>
      <c r="B115" s="718" t="s">
        <v>287</v>
      </c>
      <c r="C115" s="719"/>
      <c r="D115" s="719"/>
      <c r="E115" s="720"/>
      <c r="F115" s="720"/>
      <c r="G115" s="721"/>
      <c r="H115" s="722">
        <f>SUM(H112:H114)</f>
        <v>0</v>
      </c>
      <c r="I115" s="723"/>
      <c r="J115" s="504"/>
      <c r="K115" s="13"/>
      <c r="L115" s="13"/>
      <c r="M115" s="13"/>
      <c r="N115" s="13"/>
      <c r="O115" s="13"/>
    </row>
    <row r="116" spans="1:15" ht="19.5" customHeight="1" thickBot="1">
      <c r="A116" s="183"/>
      <c r="B116" s="631" t="s">
        <v>284</v>
      </c>
      <c r="C116" s="510"/>
      <c r="D116" s="510"/>
      <c r="E116" s="511"/>
      <c r="F116" s="511"/>
      <c r="G116" s="511"/>
      <c r="H116" s="512"/>
      <c r="I116" s="632"/>
      <c r="J116" s="161"/>
      <c r="K116" s="13"/>
      <c r="L116" s="13"/>
      <c r="M116" s="13"/>
      <c r="N116" s="13"/>
      <c r="O116" s="13"/>
    </row>
    <row r="117" spans="1:10" s="635" customFormat="1" ht="18.75">
      <c r="A117" s="122"/>
      <c r="B117" s="123" t="s">
        <v>0</v>
      </c>
      <c r="C117" s="124" t="s">
        <v>11</v>
      </c>
      <c r="D117" s="125" t="s">
        <v>33</v>
      </c>
      <c r="E117" s="1043" t="s">
        <v>5</v>
      </c>
      <c r="F117" s="1044"/>
      <c r="G117" s="1045"/>
      <c r="H117" s="126" t="s">
        <v>3</v>
      </c>
      <c r="I117" s="150" t="s">
        <v>274</v>
      </c>
      <c r="J117" s="627"/>
    </row>
    <row r="118" spans="1:15" s="635" customFormat="1" ht="18" customHeight="1">
      <c r="A118" s="127"/>
      <c r="B118" s="128"/>
      <c r="C118" s="129" t="s">
        <v>13</v>
      </c>
      <c r="D118" s="129" t="s">
        <v>179</v>
      </c>
      <c r="E118" s="130" t="s">
        <v>6</v>
      </c>
      <c r="F118" s="131" t="s">
        <v>7</v>
      </c>
      <c r="G118" s="132" t="s">
        <v>8</v>
      </c>
      <c r="H118" s="133"/>
      <c r="I118" s="121"/>
      <c r="J118" s="627"/>
      <c r="K118" s="204"/>
      <c r="L118" s="204"/>
      <c r="M118" s="204"/>
      <c r="N118" s="204"/>
      <c r="O118" s="204"/>
    </row>
    <row r="119" spans="1:10" ht="21.75">
      <c r="A119" s="633" t="s">
        <v>69</v>
      </c>
      <c r="B119" s="238" t="s">
        <v>140</v>
      </c>
      <c r="C119" s="628"/>
      <c r="D119" s="628"/>
      <c r="E119" s="629"/>
      <c r="F119" s="629"/>
      <c r="G119" s="629"/>
      <c r="H119" s="268"/>
      <c r="I119" s="634"/>
      <c r="J119" s="173"/>
    </row>
    <row r="120" spans="1:10" ht="21.75">
      <c r="A120" s="633"/>
      <c r="B120" s="238" t="s">
        <v>273</v>
      </c>
      <c r="C120" s="628"/>
      <c r="D120" s="628"/>
      <c r="E120" s="629"/>
      <c r="F120" s="629"/>
      <c r="G120" s="629"/>
      <c r="H120" s="268"/>
      <c r="I120" s="274"/>
      <c r="J120" s="116"/>
    </row>
    <row r="121" spans="1:10" ht="18.75">
      <c r="A121" s="24"/>
      <c r="B121" s="212" t="s">
        <v>286</v>
      </c>
      <c r="C121" s="556">
        <v>0</v>
      </c>
      <c r="D121" s="557">
        <v>0</v>
      </c>
      <c r="E121" s="558">
        <f>IF(C121&gt;2,(3*D121/15),(C121*(3/2)*D121/15))</f>
        <v>0</v>
      </c>
      <c r="F121" s="559">
        <f>+D121*1/15</f>
        <v>0</v>
      </c>
      <c r="G121" s="560">
        <f>+(D121/15)*1*(C121-2)/2+(D121*1/15)</f>
        <v>0</v>
      </c>
      <c r="H121" s="230">
        <f>(+E121+F121+G121)</f>
        <v>0</v>
      </c>
      <c r="I121" s="74" t="s">
        <v>176</v>
      </c>
      <c r="J121" s="116">
        <f>12*1.7</f>
        <v>20.4</v>
      </c>
    </row>
    <row r="122" spans="1:10" ht="18.75">
      <c r="A122" s="24"/>
      <c r="B122" s="212" t="s">
        <v>153</v>
      </c>
      <c r="C122" s="561">
        <v>0</v>
      </c>
      <c r="D122" s="562">
        <v>0</v>
      </c>
      <c r="E122" s="563">
        <f>IF(C122&gt;2,(3*D122/15),(C122*(3/2)*D122/15))</f>
        <v>0</v>
      </c>
      <c r="F122" s="564">
        <f>+D122*1/15</f>
        <v>0</v>
      </c>
      <c r="G122" s="565">
        <f>+(D122/15)*1*(C122-2)/2+(D122*1/15)</f>
        <v>0</v>
      </c>
      <c r="H122" s="230">
        <f>(+E122+F122+G122)</f>
        <v>0</v>
      </c>
      <c r="I122" s="74"/>
      <c r="J122" s="115"/>
    </row>
    <row r="123" spans="1:10" s="204" customFormat="1" ht="21.75">
      <c r="A123" s="19"/>
      <c r="B123" s="212" t="s">
        <v>154</v>
      </c>
      <c r="C123" s="561">
        <v>0</v>
      </c>
      <c r="D123" s="562">
        <v>0</v>
      </c>
      <c r="E123" s="563">
        <f>IF(C123&gt;2,(3*D123/15),(C123*(3/2)*D123/15))</f>
        <v>0</v>
      </c>
      <c r="F123" s="564">
        <f>+D123*1/15</f>
        <v>0</v>
      </c>
      <c r="G123" s="565">
        <f>+(D123/15)*1*(C123-2)/2+(D123*1/15)</f>
        <v>0</v>
      </c>
      <c r="H123" s="230">
        <f>(+E123+F123+G123)</f>
        <v>0</v>
      </c>
      <c r="I123" s="75"/>
      <c r="J123" s="627"/>
    </row>
    <row r="124" spans="1:10" ht="21.75">
      <c r="A124" s="19"/>
      <c r="B124" s="213" t="s">
        <v>70</v>
      </c>
      <c r="C124" s="95">
        <v>0</v>
      </c>
      <c r="D124" s="96">
        <v>0</v>
      </c>
      <c r="E124" s="553">
        <f>IF(C124&gt;2,(3*D124/15),(C124*(3/2)*D124/15))</f>
        <v>0</v>
      </c>
      <c r="F124" s="554">
        <f>+D124*1/15</f>
        <v>0</v>
      </c>
      <c r="G124" s="555">
        <f>+(D124/15)*1*(C124-2)/2+(D124*1/15)</f>
        <v>0</v>
      </c>
      <c r="H124" s="231">
        <f>(+E124+F124+G124)</f>
        <v>0</v>
      </c>
      <c r="I124" s="217"/>
      <c r="J124" s="116"/>
    </row>
    <row r="125" spans="1:10" ht="21.75">
      <c r="A125" s="622"/>
      <c r="B125" s="241" t="s">
        <v>272</v>
      </c>
      <c r="C125" s="628"/>
      <c r="D125" s="628"/>
      <c r="E125" s="629"/>
      <c r="F125" s="630"/>
      <c r="G125" s="629"/>
      <c r="H125" s="268"/>
      <c r="I125" s="263"/>
      <c r="J125" s="116"/>
    </row>
    <row r="126" spans="1:10" ht="21.75">
      <c r="A126" s="25"/>
      <c r="B126" s="232" t="s">
        <v>72</v>
      </c>
      <c r="C126" s="556">
        <v>0</v>
      </c>
      <c r="D126" s="557">
        <v>0</v>
      </c>
      <c r="E126" s="566">
        <f>IF(C126&gt;5,(3*D126/15),(C126*(3/5)*D126/15))</f>
        <v>0</v>
      </c>
      <c r="F126" s="567">
        <f>+D126*1/15</f>
        <v>0</v>
      </c>
      <c r="G126" s="568">
        <f>+(D126/15)*1*(C126-5)/5+(D126*1/15)</f>
        <v>0</v>
      </c>
      <c r="H126" s="569">
        <f>+E126+F126+G126</f>
        <v>0</v>
      </c>
      <c r="I126" s="74"/>
      <c r="J126" s="116"/>
    </row>
    <row r="127" spans="1:10" ht="21.75">
      <c r="A127" s="19"/>
      <c r="B127" s="233" t="s">
        <v>73</v>
      </c>
      <c r="C127" s="561">
        <v>0</v>
      </c>
      <c r="D127" s="562">
        <v>0</v>
      </c>
      <c r="E127" s="570">
        <f>IF(C127&gt;5,(3*D127/15),(C127*(3/5)*D127/15))</f>
        <v>0</v>
      </c>
      <c r="F127" s="571">
        <f>+D127*1/15</f>
        <v>0</v>
      </c>
      <c r="G127" s="572">
        <f>+(D127/15)*1*(C127-5)/5+(D127*1/15)</f>
        <v>0</v>
      </c>
      <c r="H127" s="573">
        <f>+E127+F127+G127</f>
        <v>0</v>
      </c>
      <c r="I127" s="138"/>
      <c r="J127" s="115"/>
    </row>
    <row r="128" spans="1:10" s="204" customFormat="1" ht="21.75">
      <c r="A128" s="19"/>
      <c r="B128" s="234" t="s">
        <v>74</v>
      </c>
      <c r="C128" s="574">
        <v>0</v>
      </c>
      <c r="D128" s="575">
        <v>0</v>
      </c>
      <c r="E128" s="687">
        <f>IF(C128&gt;5,(3*D128/15),(C128*(3/5)*D128/15))</f>
        <v>0</v>
      </c>
      <c r="F128" s="688">
        <f>+D128*1/15</f>
        <v>0</v>
      </c>
      <c r="G128" s="689">
        <f>+(D128/15)*1*(C128-5)/5+(D128*1/15)</f>
        <v>0</v>
      </c>
      <c r="H128" s="690">
        <f>+E128+F128+G128</f>
        <v>0</v>
      </c>
      <c r="I128" s="217"/>
      <c r="J128" s="627"/>
    </row>
    <row r="129" spans="1:10" ht="21.75">
      <c r="A129" s="622"/>
      <c r="B129" s="23" t="s">
        <v>177</v>
      </c>
      <c r="C129" s="623"/>
      <c r="D129" s="623"/>
      <c r="E129" s="624"/>
      <c r="F129" s="625"/>
      <c r="G129" s="624"/>
      <c r="H129" s="626"/>
      <c r="I129" s="274"/>
      <c r="J129" s="116"/>
    </row>
    <row r="130" spans="1:10" ht="21.75">
      <c r="A130" s="19"/>
      <c r="B130" s="69" t="s">
        <v>75</v>
      </c>
      <c r="C130" s="556">
        <v>0</v>
      </c>
      <c r="D130" s="557">
        <v>0</v>
      </c>
      <c r="E130" s="566">
        <f>+D130*2.5/30</f>
        <v>0</v>
      </c>
      <c r="F130" s="567">
        <f>+D130*3/30</f>
        <v>0</v>
      </c>
      <c r="G130" s="568">
        <f>+(D130/30)*2*(C130-10)/10+(D130*2/30)</f>
        <v>0</v>
      </c>
      <c r="H130" s="569">
        <f>+E130+F130+G130</f>
        <v>0</v>
      </c>
      <c r="I130" s="74"/>
      <c r="J130" s="115"/>
    </row>
    <row r="131" spans="1:10" ht="21.75">
      <c r="A131" s="19"/>
      <c r="B131" s="70" t="s">
        <v>76</v>
      </c>
      <c r="C131" s="574">
        <v>0</v>
      </c>
      <c r="D131" s="575">
        <v>0</v>
      </c>
      <c r="E131" s="687">
        <f>+D131*2.5/30</f>
        <v>0</v>
      </c>
      <c r="F131" s="688">
        <f>+D131*3/30</f>
        <v>0</v>
      </c>
      <c r="G131" s="689">
        <f>+(D131/30)*2*(C131-10)/10+(D131*2/30)</f>
        <v>0</v>
      </c>
      <c r="H131" s="690">
        <f>+E131+F131+G131</f>
        <v>0</v>
      </c>
      <c r="I131" s="210"/>
      <c r="J131" s="116"/>
    </row>
    <row r="132" spans="1:10" ht="21.75">
      <c r="A132" s="19"/>
      <c r="B132" s="223" t="s">
        <v>178</v>
      </c>
      <c r="C132" s="235"/>
      <c r="D132" s="236"/>
      <c r="E132" s="154"/>
      <c r="F132" s="154"/>
      <c r="G132" s="229"/>
      <c r="H132" s="110"/>
      <c r="I132" s="74"/>
      <c r="J132" s="116"/>
    </row>
    <row r="133" spans="1:10" ht="21.75">
      <c r="A133" s="19"/>
      <c r="B133" s="69" t="s">
        <v>163</v>
      </c>
      <c r="C133" s="549">
        <v>0</v>
      </c>
      <c r="D133" s="550">
        <v>0</v>
      </c>
      <c r="E133" s="163">
        <f>IF(C133&gt;2,(3*D133/45),(C133*(3/2)*D133/45))</f>
        <v>0</v>
      </c>
      <c r="F133" s="164">
        <f>+D133*4/45</f>
        <v>0</v>
      </c>
      <c r="G133" s="167">
        <f>+(D133/45)*4*(C133-2)/2+(D133*4/45)</f>
        <v>0</v>
      </c>
      <c r="H133" s="147">
        <f>+E133+F133+G133</f>
        <v>0</v>
      </c>
      <c r="I133" s="74"/>
      <c r="J133" s="116"/>
    </row>
    <row r="134" spans="1:10" ht="21.75">
      <c r="A134" s="19"/>
      <c r="B134" s="69" t="s">
        <v>285</v>
      </c>
      <c r="C134" s="551">
        <v>0</v>
      </c>
      <c r="D134" s="552">
        <v>0</v>
      </c>
      <c r="E134" s="163">
        <f>IF(C134&gt;2,(3*D134/45),(C134*(3/2)*D134/45))</f>
        <v>0</v>
      </c>
      <c r="F134" s="164">
        <f>+D134*4/45</f>
        <v>0</v>
      </c>
      <c r="G134" s="167">
        <f>+(D134/45)*4*(C134-2)/2+(D134*4/45)</f>
        <v>0</v>
      </c>
      <c r="H134" s="147">
        <f>+E134+F134+G134</f>
        <v>0</v>
      </c>
      <c r="I134" s="74"/>
      <c r="J134" s="115"/>
    </row>
    <row r="135" spans="1:9" ht="18.75">
      <c r="A135" s="162"/>
      <c r="B135" s="587" t="s">
        <v>307</v>
      </c>
      <c r="C135" s="585"/>
      <c r="D135" s="588"/>
      <c r="E135" s="709"/>
      <c r="F135" s="709"/>
      <c r="G135" s="709"/>
      <c r="H135" s="710">
        <f>SUM(H121:H134)</f>
        <v>0</v>
      </c>
      <c r="I135" s="162"/>
    </row>
    <row r="136" spans="1:8" ht="19.5" thickBot="1">
      <c r="A136" s="16"/>
      <c r="B136" s="711" t="s">
        <v>306</v>
      </c>
      <c r="C136" s="1028">
        <f>(SUM(D121:D124)+SUM(D126:D128))/15</f>
        <v>0</v>
      </c>
      <c r="D136" s="1028">
        <f>SUM(D130:D131)/30</f>
        <v>0</v>
      </c>
      <c r="E136" s="1028">
        <f>SUM(D133:D134)*2/45</f>
        <v>0</v>
      </c>
      <c r="F136" s="465" t="s">
        <v>301</v>
      </c>
      <c r="G136" s="1029">
        <f>C136+D136+E136</f>
        <v>0</v>
      </c>
      <c r="H136" s="1023"/>
    </row>
    <row r="137" spans="1:8" ht="19.5" thickBot="1">
      <c r="A137" s="1024"/>
      <c r="B137" s="715" t="s">
        <v>308</v>
      </c>
      <c r="C137" s="713">
        <f>C72+C108+C136</f>
        <v>0</v>
      </c>
      <c r="D137" s="713">
        <f>D72+D108+D136</f>
        <v>0</v>
      </c>
      <c r="E137" s="713">
        <f>E72+E108+E136</f>
        <v>0</v>
      </c>
      <c r="F137" s="713" t="s">
        <v>309</v>
      </c>
      <c r="G137" s="716">
        <f>G72+G108+G136</f>
        <v>0</v>
      </c>
      <c r="H137" s="714"/>
    </row>
    <row r="138" spans="1:8" ht="19.5" thickBot="1">
      <c r="A138" s="1024"/>
      <c r="B138" s="890" t="s">
        <v>371</v>
      </c>
      <c r="C138" s="891">
        <f>+'สอนภาค2 p4-6'!C137+'สอนภาค1 '!C133</f>
        <v>0</v>
      </c>
      <c r="D138" s="891">
        <f>+'สอนภาค2 p4-6'!D137+'สอนภาค1 '!D133</f>
        <v>0</v>
      </c>
      <c r="E138" s="891">
        <f>+'สอนภาค2 p4-6'!E137+'สอนภาค1 '!E133</f>
        <v>0</v>
      </c>
      <c r="F138" s="891" t="s">
        <v>309</v>
      </c>
      <c r="G138" s="892">
        <f>C138+D138+E138</f>
        <v>0</v>
      </c>
      <c r="H138" s="714"/>
    </row>
  </sheetData>
  <sheetProtection password="CC19" sheet="1" formatCells="0" formatColumns="0" formatRows="0" insertRows="0"/>
  <mergeCells count="6">
    <mergeCell ref="E117:G117"/>
    <mergeCell ref="E2:G2"/>
    <mergeCell ref="E74:G74"/>
    <mergeCell ref="E52:G52"/>
    <mergeCell ref="E109:G109"/>
    <mergeCell ref="E99:G99"/>
  </mergeCells>
  <printOptions/>
  <pageMargins left="0.27" right="0.16" top="0.287401575" bottom="0" header="0.31496062992126" footer="0.31496062992126"/>
  <pageSetup horizontalDpi="600" verticalDpi="600" orientation="portrait" paperSize="9" r:id="rId4"/>
  <headerFooter alignWithMargins="0">
    <oddFooter>&amp;C&amp;12 2</oddFooter>
  </headerFooter>
  <rowBreaks count="1" manualBreakCount="1">
    <brk id="9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204" customFormat="1" ht="15.75" customHeight="1">
      <c r="A1" s="277"/>
      <c r="B1" s="185" t="s">
        <v>0</v>
      </c>
      <c r="C1" s="185" t="s">
        <v>9</v>
      </c>
      <c r="D1" s="185" t="s">
        <v>78</v>
      </c>
      <c r="E1" s="278" t="s">
        <v>3</v>
      </c>
      <c r="F1" s="279" t="s">
        <v>392</v>
      </c>
    </row>
    <row r="2" spans="1:6" s="204" customFormat="1" ht="15.75" customHeight="1">
      <c r="A2" s="246"/>
      <c r="B2" s="41"/>
      <c r="C2" s="44"/>
      <c r="D2" s="44"/>
      <c r="E2" s="244" t="s">
        <v>84</v>
      </c>
      <c r="F2" s="45"/>
    </row>
    <row r="3" spans="1:6" s="204" customFormat="1" ht="15.75" customHeight="1">
      <c r="A3" s="24"/>
      <c r="B3" s="239" t="s">
        <v>180</v>
      </c>
      <c r="C3" s="237"/>
      <c r="D3" s="240"/>
      <c r="E3" s="238"/>
      <c r="F3" s="43"/>
    </row>
    <row r="4" spans="1:6" s="204" customFormat="1" ht="18" customHeight="1">
      <c r="A4" s="247">
        <v>1.5</v>
      </c>
      <c r="B4" s="23" t="s">
        <v>79</v>
      </c>
      <c r="C4" s="744" t="s">
        <v>3</v>
      </c>
      <c r="D4" s="745">
        <f>D6+D11+D17+D22</f>
        <v>0</v>
      </c>
      <c r="E4" s="746">
        <f>IF(D4&lt;31,D4,30)</f>
        <v>0</v>
      </c>
      <c r="F4" s="98" t="s">
        <v>41</v>
      </c>
    </row>
    <row r="5" spans="1:6" s="204" customFormat="1" ht="15" customHeight="1">
      <c r="A5" s="247"/>
      <c r="B5" s="23" t="s">
        <v>80</v>
      </c>
      <c r="C5" s="247"/>
      <c r="D5" s="248"/>
      <c r="E5" s="243" t="s">
        <v>2</v>
      </c>
      <c r="F5" s="249" t="s">
        <v>63</v>
      </c>
    </row>
    <row r="6" spans="1:6" s="204" customFormat="1" ht="18" customHeight="1">
      <c r="A6" s="247"/>
      <c r="B6" s="23" t="s">
        <v>181</v>
      </c>
      <c r="C6" s="247"/>
      <c r="D6" s="748">
        <f>SUM(D7:D9)</f>
        <v>0</v>
      </c>
      <c r="E6" s="243" t="s">
        <v>2</v>
      </c>
      <c r="F6" s="249"/>
    </row>
    <row r="7" spans="1:6" s="204" customFormat="1" ht="15.75" customHeight="1">
      <c r="A7" s="247"/>
      <c r="B7" s="250" t="s">
        <v>182</v>
      </c>
      <c r="C7" s="251">
        <v>0</v>
      </c>
      <c r="D7" s="734">
        <f>C7*3</f>
        <v>0</v>
      </c>
      <c r="E7" s="243" t="s">
        <v>2</v>
      </c>
      <c r="F7" s="735" t="s">
        <v>77</v>
      </c>
    </row>
    <row r="8" spans="1:6" s="204" customFormat="1" ht="15.75" customHeight="1">
      <c r="A8" s="247"/>
      <c r="B8" s="250"/>
      <c r="C8" s="251"/>
      <c r="D8" s="252"/>
      <c r="E8" s="243"/>
      <c r="F8" s="249"/>
    </row>
    <row r="9" spans="1:6" s="204" customFormat="1" ht="15.75" customHeight="1">
      <c r="A9" s="247"/>
      <c r="B9" s="250" t="s">
        <v>183</v>
      </c>
      <c r="C9" s="253">
        <v>0</v>
      </c>
      <c r="D9" s="734">
        <f>C9*3</f>
        <v>0</v>
      </c>
      <c r="E9" s="243" t="s">
        <v>2</v>
      </c>
      <c r="F9" s="249"/>
    </row>
    <row r="10" spans="1:6" s="204" customFormat="1" ht="15.75" customHeight="1">
      <c r="A10" s="492"/>
      <c r="B10" s="493"/>
      <c r="C10" s="494"/>
      <c r="D10" s="495"/>
      <c r="E10" s="496"/>
      <c r="F10" s="497"/>
    </row>
    <row r="11" spans="1:6" s="204" customFormat="1" ht="15.75" customHeight="1">
      <c r="A11" s="24"/>
      <c r="B11" s="241" t="s">
        <v>184</v>
      </c>
      <c r="C11" s="258"/>
      <c r="D11" s="747">
        <f>SUM(D12:D15)</f>
        <v>0</v>
      </c>
      <c r="E11" s="243" t="s">
        <v>2</v>
      </c>
      <c r="F11" s="249"/>
    </row>
    <row r="12" spans="1:6" s="204" customFormat="1" ht="15.75" customHeight="1">
      <c r="A12" s="24"/>
      <c r="B12" s="250" t="s">
        <v>182</v>
      </c>
      <c r="C12" s="251">
        <v>0</v>
      </c>
      <c r="D12" s="259">
        <f>C12</f>
        <v>0</v>
      </c>
      <c r="E12" s="243" t="s">
        <v>2</v>
      </c>
      <c r="F12" s="735" t="s">
        <v>77</v>
      </c>
    </row>
    <row r="13" spans="1:6" s="204" customFormat="1" ht="15.75" customHeight="1">
      <c r="A13" s="24"/>
      <c r="B13" s="250"/>
      <c r="C13" s="253"/>
      <c r="D13" s="259"/>
      <c r="E13" s="243"/>
      <c r="F13" s="249"/>
    </row>
    <row r="14" spans="1:6" s="204" customFormat="1" ht="15.75" customHeight="1">
      <c r="A14" s="24"/>
      <c r="B14" s="250" t="s">
        <v>183</v>
      </c>
      <c r="C14" s="253">
        <v>0</v>
      </c>
      <c r="D14" s="259">
        <f>C14</f>
        <v>0</v>
      </c>
      <c r="E14" s="243" t="s">
        <v>2</v>
      </c>
      <c r="F14" s="249"/>
    </row>
    <row r="15" spans="1:6" s="204" customFormat="1" ht="15.75" customHeight="1">
      <c r="A15" s="246"/>
      <c r="B15" s="255"/>
      <c r="C15" s="498"/>
      <c r="D15" s="260"/>
      <c r="E15" s="256"/>
      <c r="F15" s="257"/>
    </row>
    <row r="16" spans="1:6" s="204" customFormat="1" ht="15.75" customHeight="1">
      <c r="A16" s="24"/>
      <c r="B16" s="242" t="s">
        <v>81</v>
      </c>
      <c r="C16" s="261"/>
      <c r="D16" s="262"/>
      <c r="E16" s="263"/>
      <c r="F16" s="735" t="s">
        <v>63</v>
      </c>
    </row>
    <row r="17" spans="1:6" s="204" customFormat="1" ht="15.75" customHeight="1">
      <c r="A17" s="24"/>
      <c r="B17" s="242" t="s">
        <v>187</v>
      </c>
      <c r="C17" s="261"/>
      <c r="D17" s="748">
        <f>SUM(D18:D21)</f>
        <v>0</v>
      </c>
      <c r="E17" s="263"/>
      <c r="F17" s="735" t="s">
        <v>58</v>
      </c>
    </row>
    <row r="18" spans="1:6" s="204" customFormat="1" ht="15.75" customHeight="1">
      <c r="A18" s="24"/>
      <c r="B18" s="250" t="s">
        <v>290</v>
      </c>
      <c r="C18" s="264">
        <v>0</v>
      </c>
      <c r="D18" s="252">
        <f>C18*3</f>
        <v>0</v>
      </c>
      <c r="E18" s="265" t="s">
        <v>2</v>
      </c>
      <c r="F18" s="249"/>
    </row>
    <row r="19" spans="1:6" s="204" customFormat="1" ht="15.75" customHeight="1">
      <c r="A19" s="24"/>
      <c r="B19" s="250" t="s">
        <v>185</v>
      </c>
      <c r="C19" s="253">
        <v>0</v>
      </c>
      <c r="D19" s="252">
        <f>C19*3</f>
        <v>0</v>
      </c>
      <c r="E19" s="265" t="s">
        <v>2</v>
      </c>
      <c r="F19" s="249"/>
    </row>
    <row r="20" spans="1:6" s="204" customFormat="1" ht="15.75" customHeight="1">
      <c r="A20" s="24"/>
      <c r="B20" s="250" t="s">
        <v>289</v>
      </c>
      <c r="C20" s="253">
        <v>0</v>
      </c>
      <c r="D20" s="252">
        <f>C20*3</f>
        <v>0</v>
      </c>
      <c r="E20" s="265" t="s">
        <v>2</v>
      </c>
      <c r="F20" s="249"/>
    </row>
    <row r="21" spans="1:6" s="204" customFormat="1" ht="15.75" customHeight="1">
      <c r="A21" s="24"/>
      <c r="B21" s="493" t="s">
        <v>291</v>
      </c>
      <c r="C21" s="499">
        <v>0</v>
      </c>
      <c r="D21" s="252">
        <f>C21*3</f>
        <v>0</v>
      </c>
      <c r="E21" s="500" t="s">
        <v>2</v>
      </c>
      <c r="F21" s="497"/>
    </row>
    <row r="22" spans="1:6" s="204" customFormat="1" ht="15.75" customHeight="1">
      <c r="A22" s="247"/>
      <c r="B22" s="241" t="s">
        <v>210</v>
      </c>
      <c r="C22" s="267"/>
      <c r="D22" s="747">
        <f>SUM(D23:D26)</f>
        <v>0</v>
      </c>
      <c r="E22" s="268"/>
      <c r="F22" s="728" t="s">
        <v>41</v>
      </c>
    </row>
    <row r="23" spans="1:6" s="204" customFormat="1" ht="15.75" customHeight="1">
      <c r="A23" s="247"/>
      <c r="B23" s="250" t="s">
        <v>290</v>
      </c>
      <c r="C23" s="264">
        <v>0</v>
      </c>
      <c r="D23" s="259">
        <f>C23</f>
        <v>0</v>
      </c>
      <c r="E23" s="265" t="s">
        <v>2</v>
      </c>
      <c r="F23" s="735" t="s">
        <v>63</v>
      </c>
    </row>
    <row r="24" spans="1:6" s="204" customFormat="1" ht="15.75" customHeight="1">
      <c r="A24" s="247"/>
      <c r="B24" s="250" t="s">
        <v>185</v>
      </c>
      <c r="C24" s="253">
        <v>0</v>
      </c>
      <c r="D24" s="259">
        <f>C24</f>
        <v>0</v>
      </c>
      <c r="E24" s="265" t="s">
        <v>2</v>
      </c>
      <c r="F24" s="249"/>
    </row>
    <row r="25" spans="1:6" s="204" customFormat="1" ht="15.75" customHeight="1">
      <c r="A25" s="247"/>
      <c r="B25" s="250" t="s">
        <v>186</v>
      </c>
      <c r="C25" s="253">
        <v>0</v>
      </c>
      <c r="D25" s="259">
        <f>C25</f>
        <v>0</v>
      </c>
      <c r="E25" s="265" t="s">
        <v>2</v>
      </c>
      <c r="F25" s="249"/>
    </row>
    <row r="26" spans="1:6" s="204" customFormat="1" ht="15.75" customHeight="1">
      <c r="A26" s="246"/>
      <c r="B26" s="255" t="s">
        <v>292</v>
      </c>
      <c r="C26" s="501">
        <v>0</v>
      </c>
      <c r="D26" s="260">
        <f>C26</f>
        <v>0</v>
      </c>
      <c r="E26" s="502" t="s">
        <v>2</v>
      </c>
      <c r="F26" s="257"/>
    </row>
    <row r="27" spans="1:6" s="204" customFormat="1" ht="15.75" customHeight="1">
      <c r="A27" s="247">
        <v>1.6</v>
      </c>
      <c r="B27" s="23" t="s">
        <v>188</v>
      </c>
      <c r="C27" s="247"/>
      <c r="D27" s="248"/>
      <c r="E27" s="263"/>
      <c r="F27" s="274"/>
    </row>
    <row r="28" spans="1:6" s="204" customFormat="1" ht="15.75" customHeight="1">
      <c r="A28" s="247"/>
      <c r="B28" s="99" t="s">
        <v>82</v>
      </c>
      <c r="C28" s="269">
        <v>0</v>
      </c>
      <c r="D28" s="270">
        <f>C28*0.5</f>
        <v>0</v>
      </c>
      <c r="E28" s="268">
        <f>D28</f>
        <v>0</v>
      </c>
      <c r="F28" s="111"/>
    </row>
    <row r="29" spans="1:6" s="204" customFormat="1" ht="15.75" customHeight="1">
      <c r="A29" s="254"/>
      <c r="B29" s="266"/>
      <c r="C29" s="271" t="s">
        <v>2</v>
      </c>
      <c r="D29" s="272" t="s">
        <v>2</v>
      </c>
      <c r="E29" s="273">
        <v>0</v>
      </c>
      <c r="F29" s="155"/>
    </row>
    <row r="30" spans="1:6" s="204" customFormat="1" ht="15.75" customHeight="1">
      <c r="A30" s="24"/>
      <c r="B30" s="23" t="s">
        <v>189</v>
      </c>
      <c r="C30" s="247"/>
      <c r="D30" s="248"/>
      <c r="E30" s="263"/>
      <c r="F30" s="274"/>
    </row>
    <row r="31" spans="1:6" s="204" customFormat="1" ht="15.75" customHeight="1">
      <c r="A31" s="24"/>
      <c r="B31" s="99" t="s">
        <v>164</v>
      </c>
      <c r="C31" s="269">
        <v>0</v>
      </c>
      <c r="D31" s="270">
        <f>C31*1</f>
        <v>0</v>
      </c>
      <c r="E31" s="268">
        <f>D31</f>
        <v>0</v>
      </c>
      <c r="F31" s="98" t="s">
        <v>83</v>
      </c>
    </row>
    <row r="32" spans="1:6" s="204" customFormat="1" ht="15.75" customHeight="1">
      <c r="A32" s="24"/>
      <c r="B32" s="181"/>
      <c r="C32" s="271" t="s">
        <v>2</v>
      </c>
      <c r="D32" s="272" t="s">
        <v>2</v>
      </c>
      <c r="E32" s="272" t="s">
        <v>2</v>
      </c>
      <c r="F32" s="155"/>
    </row>
    <row r="33" spans="1:6" s="204" customFormat="1" ht="15.75" customHeight="1">
      <c r="A33" s="24"/>
      <c r="B33" s="245" t="s">
        <v>86</v>
      </c>
      <c r="C33" s="42" t="s">
        <v>9</v>
      </c>
      <c r="D33" s="240" t="s">
        <v>85</v>
      </c>
      <c r="E33" s="268"/>
      <c r="F33" s="728" t="s">
        <v>42</v>
      </c>
    </row>
    <row r="34" spans="1:6" s="204" customFormat="1" ht="20.25" customHeight="1">
      <c r="A34" s="24"/>
      <c r="B34" s="738" t="s">
        <v>190</v>
      </c>
      <c r="C34" s="736">
        <v>0</v>
      </c>
      <c r="D34" s="739">
        <v>1</v>
      </c>
      <c r="E34" s="737">
        <f>C34*1/D34</f>
        <v>0</v>
      </c>
      <c r="F34" s="728" t="s">
        <v>57</v>
      </c>
    </row>
    <row r="35" spans="1:6" s="204" customFormat="1" ht="20.25" customHeight="1">
      <c r="A35" s="246"/>
      <c r="B35" s="743"/>
      <c r="C35" s="741" t="s">
        <v>2</v>
      </c>
      <c r="D35" s="740" t="s">
        <v>2</v>
      </c>
      <c r="E35" s="742" t="s">
        <v>2</v>
      </c>
      <c r="F35" s="155"/>
    </row>
    <row r="36" spans="1:6" s="204" customFormat="1" ht="15.75" customHeight="1">
      <c r="A36" s="246"/>
      <c r="B36" s="280" t="s">
        <v>35</v>
      </c>
      <c r="C36" s="281" t="s">
        <v>2</v>
      </c>
      <c r="D36" s="503" t="s">
        <v>2</v>
      </c>
      <c r="E36" s="275">
        <f>E4+E28+E31+E34</f>
        <v>0</v>
      </c>
      <c r="F36" s="276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Normal="120" zoomScaleSheetLayoutView="110" zoomScalePageLayoutView="0" workbookViewId="0" topLeftCell="A1">
      <selection activeCell="B5" sqref="B5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52" customWidth="1"/>
    <col min="4" max="4" width="7.7109375" style="52" customWidth="1"/>
    <col min="5" max="5" width="8.57421875" style="52" customWidth="1"/>
    <col min="6" max="6" width="5.7109375" style="194" customWidth="1"/>
    <col min="7" max="7" width="6.140625" style="1" customWidth="1"/>
    <col min="8" max="8" width="5.8515625" style="1" customWidth="1"/>
    <col min="9" max="9" width="6.421875" style="1" customWidth="1"/>
    <col min="10" max="10" width="5.421875" style="1" customWidth="1"/>
    <col min="11" max="11" width="6.57421875" style="52" customWidth="1"/>
    <col min="12" max="12" width="11.140625" style="1" customWidth="1"/>
    <col min="13" max="16384" width="9.140625" style="1" customWidth="1"/>
  </cols>
  <sheetData>
    <row r="1" spans="1:12" ht="14.25" customHeight="1">
      <c r="A1" s="10"/>
      <c r="B1" s="10"/>
      <c r="C1" s="63"/>
      <c r="D1" s="63"/>
      <c r="E1" s="63"/>
      <c r="F1" s="469"/>
      <c r="G1" s="10"/>
      <c r="H1" s="10"/>
      <c r="I1" s="10"/>
      <c r="J1" s="10"/>
      <c r="K1" s="63"/>
      <c r="L1" s="10" t="s">
        <v>394</v>
      </c>
    </row>
    <row r="2" spans="1:12" ht="22.5" customHeight="1">
      <c r="A2" s="290">
        <v>2</v>
      </c>
      <c r="B2" s="291" t="s">
        <v>351</v>
      </c>
      <c r="C2" s="292" t="s">
        <v>91</v>
      </c>
      <c r="D2" s="1047" t="s">
        <v>88</v>
      </c>
      <c r="E2" s="1048"/>
      <c r="F2" s="1049" t="s">
        <v>93</v>
      </c>
      <c r="G2" s="1050"/>
      <c r="H2" s="1050"/>
      <c r="I2" s="1050"/>
      <c r="J2" s="1051"/>
      <c r="K2" s="293" t="s">
        <v>104</v>
      </c>
      <c r="L2" s="293" t="s">
        <v>95</v>
      </c>
    </row>
    <row r="3" spans="1:12" ht="22.5" customHeight="1">
      <c r="A3" s="294"/>
      <c r="B3" s="445" t="s">
        <v>132</v>
      </c>
      <c r="C3" s="296" t="s">
        <v>92</v>
      </c>
      <c r="D3" s="296" t="s">
        <v>89</v>
      </c>
      <c r="E3" s="296" t="s">
        <v>90</v>
      </c>
      <c r="F3" s="297" t="s">
        <v>96</v>
      </c>
      <c r="G3" s="298" t="s">
        <v>97</v>
      </c>
      <c r="H3" s="299" t="s">
        <v>98</v>
      </c>
      <c r="I3" s="282" t="s">
        <v>94</v>
      </c>
      <c r="J3" s="282" t="s">
        <v>87</v>
      </c>
      <c r="K3" s="300" t="s">
        <v>105</v>
      </c>
      <c r="L3" s="300" t="s">
        <v>315</v>
      </c>
    </row>
    <row r="4" spans="1:12" ht="22.5" customHeight="1">
      <c r="A4" s="294"/>
      <c r="B4" s="445" t="s">
        <v>414</v>
      </c>
      <c r="C4" s="295" t="s">
        <v>415</v>
      </c>
      <c r="D4" s="419"/>
      <c r="E4" s="419"/>
      <c r="F4" s="442"/>
      <c r="G4" s="327"/>
      <c r="H4" s="327"/>
      <c r="I4" s="215"/>
      <c r="J4" s="215"/>
      <c r="K4" s="443"/>
      <c r="L4" s="444" t="s">
        <v>316</v>
      </c>
    </row>
    <row r="5" spans="1:12" ht="20.25" customHeight="1">
      <c r="A5" s="284"/>
      <c r="B5" s="351">
        <v>1</v>
      </c>
      <c r="C5" s="320" t="s">
        <v>2</v>
      </c>
      <c r="D5" s="311"/>
      <c r="E5" s="312"/>
      <c r="F5" s="313">
        <v>0</v>
      </c>
      <c r="G5" s="313">
        <v>0</v>
      </c>
      <c r="H5" s="313">
        <v>0</v>
      </c>
      <c r="I5" s="314">
        <v>0</v>
      </c>
      <c r="J5" s="313">
        <v>0</v>
      </c>
      <c r="K5" s="481" t="str">
        <f>IF((F5+G5+H5+I5+J5)&gt;1,"ผิด","ถูก")</f>
        <v>ถูก</v>
      </c>
      <c r="L5" s="315">
        <v>0</v>
      </c>
    </row>
    <row r="6" spans="1:12" ht="20.25" customHeight="1">
      <c r="A6" s="284"/>
      <c r="B6" s="351"/>
      <c r="C6" s="321"/>
      <c r="D6" s="316"/>
      <c r="E6" s="317"/>
      <c r="F6" s="318">
        <f>IF(F5=1,16,0)</f>
        <v>0</v>
      </c>
      <c r="G6" s="318">
        <f>IF(G5=1,6,0)</f>
        <v>0</v>
      </c>
      <c r="H6" s="318">
        <f>IF(H5=1,3,0)</f>
        <v>0</v>
      </c>
      <c r="I6" s="318">
        <f>IF(I5=1,3,0)</f>
        <v>0</v>
      </c>
      <c r="J6" s="318">
        <f>IF(J5=1,3,0)</f>
        <v>0</v>
      </c>
      <c r="K6" s="366">
        <f>SUM(F6:J6)</f>
        <v>0</v>
      </c>
      <c r="L6" s="319"/>
    </row>
    <row r="7" spans="1:12" ht="20.25" customHeight="1">
      <c r="A7" s="284"/>
      <c r="B7" s="352"/>
      <c r="C7" s="322"/>
      <c r="D7" s="306"/>
      <c r="E7" s="307"/>
      <c r="F7" s="308"/>
      <c r="G7" s="310"/>
      <c r="H7" s="310"/>
      <c r="I7" s="308"/>
      <c r="J7" s="310"/>
      <c r="K7" s="367"/>
      <c r="L7" s="309"/>
    </row>
    <row r="8" spans="1:12" ht="20.25" customHeight="1">
      <c r="A8" s="284"/>
      <c r="B8" s="351">
        <v>2</v>
      </c>
      <c r="C8" s="320">
        <v>0</v>
      </c>
      <c r="D8" s="311"/>
      <c r="E8" s="312"/>
      <c r="F8" s="313">
        <v>0</v>
      </c>
      <c r="G8" s="313">
        <v>0</v>
      </c>
      <c r="H8" s="313">
        <v>0</v>
      </c>
      <c r="I8" s="314">
        <v>0</v>
      </c>
      <c r="J8" s="313">
        <v>0</v>
      </c>
      <c r="K8" s="481" t="str">
        <f>IF((F8+G8+H8+I8+J8)&gt;1,"ผิด","ถูก")</f>
        <v>ถูก</v>
      </c>
      <c r="L8" s="315">
        <v>0</v>
      </c>
    </row>
    <row r="9" spans="1:12" ht="20.25" customHeight="1">
      <c r="A9" s="284"/>
      <c r="B9" s="351"/>
      <c r="C9" s="349"/>
      <c r="D9" s="339"/>
      <c r="E9" s="340"/>
      <c r="F9" s="341">
        <f>IF(F8=1,16,0)</f>
        <v>0</v>
      </c>
      <c r="G9" s="341">
        <f>IF(G8=1,6,0)</f>
        <v>0</v>
      </c>
      <c r="H9" s="341">
        <f>IF(H8=1,3,0)</f>
        <v>0</v>
      </c>
      <c r="I9" s="341">
        <f>IF(I8=1,3,0)</f>
        <v>0</v>
      </c>
      <c r="J9" s="341">
        <f>IF(J8=1,3,0)</f>
        <v>0</v>
      </c>
      <c r="K9" s="368">
        <f>SUM(F9:J9)</f>
        <v>0</v>
      </c>
      <c r="L9" s="342"/>
    </row>
    <row r="10" spans="1:12" ht="20.25" customHeight="1">
      <c r="A10" s="284"/>
      <c r="B10" s="352"/>
      <c r="C10" s="350"/>
      <c r="D10" s="344"/>
      <c r="E10" s="345"/>
      <c r="F10" s="346"/>
      <c r="G10" s="347"/>
      <c r="H10" s="347"/>
      <c r="I10" s="346"/>
      <c r="J10" s="347"/>
      <c r="K10" s="369"/>
      <c r="L10" s="348"/>
    </row>
    <row r="11" spans="1:12" ht="20.25" customHeight="1">
      <c r="A11" s="284"/>
      <c r="B11" s="351">
        <v>3</v>
      </c>
      <c r="C11" s="320">
        <v>0</v>
      </c>
      <c r="D11" s="311"/>
      <c r="E11" s="312"/>
      <c r="F11" s="313">
        <v>0</v>
      </c>
      <c r="G11" s="313">
        <v>0</v>
      </c>
      <c r="H11" s="313">
        <v>0</v>
      </c>
      <c r="I11" s="314">
        <v>0</v>
      </c>
      <c r="J11" s="313">
        <v>0</v>
      </c>
      <c r="K11" s="481" t="str">
        <f>IF((F11+G11+H11+I11+J11)&gt;1,"ผิด","ถูก")</f>
        <v>ถูก</v>
      </c>
      <c r="L11" s="315">
        <v>0</v>
      </c>
    </row>
    <row r="12" spans="1:12" ht="20.25" customHeight="1">
      <c r="A12" s="284"/>
      <c r="B12" s="351"/>
      <c r="C12" s="338"/>
      <c r="D12" s="339"/>
      <c r="E12" s="340"/>
      <c r="F12" s="341">
        <f>IF(F11=1,16,0)</f>
        <v>0</v>
      </c>
      <c r="G12" s="341">
        <f>IF(G11=1,6,0)</f>
        <v>0</v>
      </c>
      <c r="H12" s="341">
        <f>IF(H11=1,3,0)</f>
        <v>0</v>
      </c>
      <c r="I12" s="341">
        <f>IF(I11=1,3,0)</f>
        <v>0</v>
      </c>
      <c r="J12" s="341">
        <f>IF(J11=1,3,0)</f>
        <v>0</v>
      </c>
      <c r="K12" s="368">
        <f>SUM(F12:J12)</f>
        <v>0</v>
      </c>
      <c r="L12" s="342"/>
    </row>
    <row r="13" spans="1:12" ht="20.25" customHeight="1">
      <c r="A13" s="284"/>
      <c r="B13" s="352"/>
      <c r="C13" s="343"/>
      <c r="D13" s="344"/>
      <c r="E13" s="345"/>
      <c r="F13" s="346"/>
      <c r="G13" s="347"/>
      <c r="H13" s="347"/>
      <c r="I13" s="346"/>
      <c r="J13" s="347"/>
      <c r="K13" s="369"/>
      <c r="L13" s="348"/>
    </row>
    <row r="14" spans="1:12" ht="20.25" customHeight="1">
      <c r="A14" s="284"/>
      <c r="B14" s="351">
        <v>4</v>
      </c>
      <c r="C14" s="320">
        <v>0</v>
      </c>
      <c r="D14" s="311"/>
      <c r="E14" s="312"/>
      <c r="F14" s="313">
        <v>0</v>
      </c>
      <c r="G14" s="313">
        <v>0</v>
      </c>
      <c r="H14" s="313">
        <v>0</v>
      </c>
      <c r="I14" s="314">
        <v>0</v>
      </c>
      <c r="J14" s="313">
        <v>0</v>
      </c>
      <c r="K14" s="481" t="str">
        <f>IF((F14+G14+H14+I14+J14)&gt;1,"ผิด","ถูก")</f>
        <v>ถูก</v>
      </c>
      <c r="L14" s="156">
        <v>0</v>
      </c>
    </row>
    <row r="15" spans="1:12" ht="20.25" customHeight="1">
      <c r="A15" s="284"/>
      <c r="B15" s="351"/>
      <c r="C15" s="338"/>
      <c r="D15" s="339"/>
      <c r="E15" s="340"/>
      <c r="F15" s="341">
        <f>IF(F14=1,16,0)</f>
        <v>0</v>
      </c>
      <c r="G15" s="341">
        <f>IF(G14=1,6,0)</f>
        <v>0</v>
      </c>
      <c r="H15" s="341">
        <f>IF(H14=1,3,0)</f>
        <v>0</v>
      </c>
      <c r="I15" s="341">
        <f>IF(I14=1,3,0)</f>
        <v>0</v>
      </c>
      <c r="J15" s="341">
        <f>IF(J14=1,3,0)</f>
        <v>0</v>
      </c>
      <c r="K15" s="368">
        <f>SUM(F15:J15)</f>
        <v>0</v>
      </c>
      <c r="L15" s="342"/>
    </row>
    <row r="16" spans="1:12" ht="20.25" customHeight="1">
      <c r="A16" s="284"/>
      <c r="B16" s="352"/>
      <c r="C16" s="343"/>
      <c r="D16" s="344"/>
      <c r="E16" s="345"/>
      <c r="F16" s="346"/>
      <c r="G16" s="347"/>
      <c r="H16" s="347"/>
      <c r="I16" s="346"/>
      <c r="J16" s="347"/>
      <c r="K16" s="369"/>
      <c r="L16" s="348"/>
    </row>
    <row r="17" spans="1:12" ht="18" customHeight="1">
      <c r="A17" s="285"/>
      <c r="B17" s="301" t="s">
        <v>107</v>
      </c>
      <c r="C17" s="286"/>
      <c r="D17" s="287"/>
      <c r="E17" s="288"/>
      <c r="F17" s="304"/>
      <c r="G17" s="305"/>
      <c r="H17" s="305"/>
      <c r="I17" s="304"/>
      <c r="J17" s="305"/>
      <c r="K17" s="370"/>
      <c r="L17" s="289"/>
    </row>
    <row r="18" spans="1:12" ht="19.5" customHeight="1">
      <c r="A18" s="353"/>
      <c r="B18" s="333" t="s">
        <v>99</v>
      </c>
      <c r="C18" s="390"/>
      <c r="D18" s="333" t="s">
        <v>114</v>
      </c>
      <c r="E18" s="1052" t="s">
        <v>102</v>
      </c>
      <c r="F18" s="1053"/>
      <c r="G18" s="333" t="s">
        <v>106</v>
      </c>
      <c r="H18" s="388" t="s">
        <v>103</v>
      </c>
      <c r="I18" s="389"/>
      <c r="J18" s="1054" t="s">
        <v>4</v>
      </c>
      <c r="K18" s="1055"/>
      <c r="L18" s="1056"/>
    </row>
    <row r="19" spans="1:12" ht="19.5" customHeight="1">
      <c r="A19" s="691"/>
      <c r="B19" s="365" t="s">
        <v>170</v>
      </c>
      <c r="C19" s="391"/>
      <c r="D19" s="334" t="s">
        <v>115</v>
      </c>
      <c r="E19" s="335" t="s">
        <v>100</v>
      </c>
      <c r="F19" s="302" t="s">
        <v>101</v>
      </c>
      <c r="G19" s="334" t="s">
        <v>62</v>
      </c>
      <c r="H19" s="334"/>
      <c r="I19" s="332"/>
      <c r="J19" s="1057"/>
      <c r="K19" s="1058"/>
      <c r="L19" s="1059"/>
    </row>
    <row r="20" spans="1:12" ht="20.25" customHeight="1">
      <c r="A20" s="354">
        <v>2</v>
      </c>
      <c r="B20" s="30" t="s">
        <v>108</v>
      </c>
      <c r="C20" s="392"/>
      <c r="D20" s="323"/>
      <c r="E20" s="323"/>
      <c r="F20" s="188"/>
      <c r="G20" s="323"/>
      <c r="H20" s="324"/>
      <c r="I20" s="326"/>
      <c r="J20" s="13"/>
      <c r="K20" s="371"/>
      <c r="L20" s="355"/>
    </row>
    <row r="21" spans="1:12" ht="20.25" customHeight="1">
      <c r="A21" s="356"/>
      <c r="B21" s="462">
        <f>B5</f>
        <v>1</v>
      </c>
      <c r="C21" s="393"/>
      <c r="D21" s="395">
        <f>IF(C5=0,0,IF(C5&lt;200001,4,IF(C5&lt;500000,8,12)))</f>
        <v>12</v>
      </c>
      <c r="E21" s="328">
        <f>D21*G21/100</f>
        <v>0</v>
      </c>
      <c r="F21" s="189">
        <f>K6*G21/100</f>
        <v>0</v>
      </c>
      <c r="G21" s="327">
        <f>L5</f>
        <v>0</v>
      </c>
      <c r="H21" s="325"/>
      <c r="I21" s="770">
        <f>IF(F21&gt;E21,F21,E21)</f>
        <v>0</v>
      </c>
      <c r="J21" s="357"/>
      <c r="K21" s="372"/>
      <c r="L21" s="358"/>
    </row>
    <row r="22" spans="1:12" ht="20.25" customHeight="1">
      <c r="A22" s="356"/>
      <c r="B22" s="462">
        <f>B8</f>
        <v>2</v>
      </c>
      <c r="C22" s="393"/>
      <c r="D22" s="395">
        <f>IF(C8=0,0,IF(C8&lt;200001,4,IF(C8&lt;500000,8,12)))</f>
        <v>0</v>
      </c>
      <c r="E22" s="328">
        <f>D22*G22/100</f>
        <v>0</v>
      </c>
      <c r="F22" s="189">
        <f>K9*G22/100</f>
        <v>0</v>
      </c>
      <c r="G22" s="327">
        <f>L8</f>
        <v>0</v>
      </c>
      <c r="H22" s="325"/>
      <c r="I22" s="770">
        <f>IF(F22&gt;E22,F22,E22)</f>
        <v>0</v>
      </c>
      <c r="J22" s="357"/>
      <c r="K22" s="372"/>
      <c r="L22" s="358"/>
    </row>
    <row r="23" spans="1:12" ht="20.25" customHeight="1">
      <c r="A23" s="356"/>
      <c r="B23" s="462">
        <f>B11</f>
        <v>3</v>
      </c>
      <c r="C23" s="393"/>
      <c r="D23" s="395">
        <f>IF(C11=0,0,IF(C11&lt;200001,4,IF(C11&lt;500000,8,12)))</f>
        <v>0</v>
      </c>
      <c r="E23" s="328">
        <f>D23*G23/100</f>
        <v>0</v>
      </c>
      <c r="F23" s="189">
        <f>K12*G23/100</f>
        <v>0</v>
      </c>
      <c r="G23" s="327">
        <f>L11</f>
        <v>0</v>
      </c>
      <c r="H23" s="325"/>
      <c r="I23" s="770">
        <f>IF(F23&gt;E23,F23,E23)</f>
        <v>0</v>
      </c>
      <c r="J23" s="357"/>
      <c r="K23" s="372"/>
      <c r="L23" s="358"/>
    </row>
    <row r="24" spans="1:12" ht="17.25" customHeight="1" thickBot="1">
      <c r="A24" s="359"/>
      <c r="B24" s="463">
        <f>B14</f>
        <v>4</v>
      </c>
      <c r="C24" s="394"/>
      <c r="D24" s="396">
        <f>IF(C14=0,0,IF(C14&lt;200001,4,IF(C14&lt;500000,8,12)))</f>
        <v>0</v>
      </c>
      <c r="E24" s="330">
        <f>D24*G24/100</f>
        <v>0</v>
      </c>
      <c r="F24" s="329">
        <f>K15*G24/100</f>
        <v>0</v>
      </c>
      <c r="G24" s="299">
        <f>L14</f>
        <v>0</v>
      </c>
      <c r="H24" s="331"/>
      <c r="I24" s="771">
        <f>IF(F24&gt;E24,F24,E24)</f>
        <v>0</v>
      </c>
      <c r="J24" s="158"/>
      <c r="K24" s="159"/>
      <c r="L24" s="360"/>
    </row>
    <row r="25" spans="1:12" ht="21" customHeight="1" thickBot="1" thickTop="1">
      <c r="A25" s="361"/>
      <c r="B25" s="373" t="s">
        <v>314</v>
      </c>
      <c r="C25" s="773">
        <f>SUM(I21:I24)</f>
        <v>0</v>
      </c>
      <c r="D25" s="769"/>
      <c r="E25" s="768" t="s">
        <v>313</v>
      </c>
      <c r="F25" s="362"/>
      <c r="G25" s="363"/>
      <c r="H25" s="364"/>
      <c r="I25" s="760">
        <f>SUM(I21:I24)/2</f>
        <v>0</v>
      </c>
      <c r="J25" s="749"/>
      <c r="K25" s="750"/>
      <c r="L25" s="751"/>
    </row>
    <row r="26" spans="1:12" ht="8.25" customHeight="1">
      <c r="A26" s="385"/>
      <c r="B26" s="385"/>
      <c r="C26" s="386"/>
      <c r="D26" s="386"/>
      <c r="E26" s="386"/>
      <c r="F26" s="387"/>
      <c r="G26" s="385"/>
      <c r="H26" s="385"/>
      <c r="I26" s="385"/>
      <c r="J26" s="385"/>
      <c r="K26" s="386"/>
      <c r="L26" s="385"/>
    </row>
    <row r="27" spans="1:12" ht="15" customHeight="1">
      <c r="A27" s="377"/>
      <c r="B27" s="577" t="s">
        <v>99</v>
      </c>
      <c r="C27" s="398"/>
      <c r="D27" s="378"/>
      <c r="E27" s="378"/>
      <c r="F27" s="379"/>
      <c r="G27" s="333" t="s">
        <v>106</v>
      </c>
      <c r="H27" s="388" t="s">
        <v>103</v>
      </c>
      <c r="I27" s="389"/>
      <c r="J27" s="377" t="s">
        <v>393</v>
      </c>
      <c r="K27" s="378"/>
      <c r="L27" s="439"/>
    </row>
    <row r="28" spans="1:12" ht="14.25" customHeight="1">
      <c r="A28" s="380"/>
      <c r="B28" s="382"/>
      <c r="C28" s="336"/>
      <c r="D28" s="337"/>
      <c r="E28" s="337"/>
      <c r="F28" s="381"/>
      <c r="G28" s="334" t="s">
        <v>62</v>
      </c>
      <c r="H28" s="334"/>
      <c r="I28" s="332"/>
      <c r="J28" s="382" t="s">
        <v>120</v>
      </c>
      <c r="K28" s="337"/>
      <c r="L28" s="332"/>
    </row>
    <row r="29" spans="1:12" ht="16.5" customHeight="1">
      <c r="A29" s="377"/>
      <c r="B29" s="324" t="s">
        <v>109</v>
      </c>
      <c r="C29" s="398"/>
      <c r="D29" s="378"/>
      <c r="E29" s="378"/>
      <c r="F29" s="379"/>
      <c r="G29" s="383"/>
      <c r="H29" s="397"/>
      <c r="I29" s="377"/>
      <c r="J29" s="121" t="s">
        <v>111</v>
      </c>
      <c r="K29" s="752"/>
      <c r="L29" s="326"/>
    </row>
    <row r="30" spans="1:12" ht="18.75">
      <c r="A30" s="377"/>
      <c r="B30" s="324" t="s">
        <v>211</v>
      </c>
      <c r="C30" s="374"/>
      <c r="D30" s="378"/>
      <c r="E30" s="378"/>
      <c r="F30" s="379"/>
      <c r="G30" s="383"/>
      <c r="H30" s="383"/>
      <c r="I30" s="384"/>
      <c r="J30" s="121" t="s">
        <v>357</v>
      </c>
      <c r="K30" s="752"/>
      <c r="L30" s="326"/>
    </row>
    <row r="31" spans="2:12" ht="18.75">
      <c r="B31" s="376" t="s">
        <v>110</v>
      </c>
      <c r="C31" s="375"/>
      <c r="D31" s="378"/>
      <c r="E31" s="378"/>
      <c r="F31" s="379"/>
      <c r="G31" s="470">
        <v>0</v>
      </c>
      <c r="H31" s="383"/>
      <c r="I31" s="384">
        <f>G31*4/100</f>
        <v>0</v>
      </c>
      <c r="J31" s="121" t="s">
        <v>358</v>
      </c>
      <c r="K31" s="752"/>
      <c r="L31" s="440"/>
    </row>
    <row r="32" spans="2:12" ht="18.75">
      <c r="B32" s="376" t="s">
        <v>112</v>
      </c>
      <c r="C32" s="375"/>
      <c r="D32" s="378"/>
      <c r="E32" s="378"/>
      <c r="F32" s="379"/>
      <c r="G32" s="470">
        <v>0</v>
      </c>
      <c r="H32" s="383"/>
      <c r="I32" s="384">
        <f>G32*4/100</f>
        <v>0</v>
      </c>
      <c r="J32" s="753" t="s">
        <v>317</v>
      </c>
      <c r="K32" s="752"/>
      <c r="L32" s="440"/>
    </row>
    <row r="33" spans="2:12" ht="18.75">
      <c r="B33" s="324" t="s">
        <v>231</v>
      </c>
      <c r="C33" s="374"/>
      <c r="D33" s="378"/>
      <c r="E33" s="604"/>
      <c r="F33" s="603"/>
      <c r="G33" s="470"/>
      <c r="H33" s="383"/>
      <c r="I33" s="384"/>
      <c r="J33" s="7"/>
      <c r="L33" s="440"/>
    </row>
    <row r="34" spans="2:12" ht="18.75">
      <c r="B34" s="376" t="s">
        <v>236</v>
      </c>
      <c r="C34" s="375"/>
      <c r="D34" s="378"/>
      <c r="E34" s="605" t="s">
        <v>232</v>
      </c>
      <c r="F34" s="606">
        <v>1</v>
      </c>
      <c r="G34" s="607">
        <v>0</v>
      </c>
      <c r="H34" s="608"/>
      <c r="I34" s="609">
        <f>IF(F34=1,G34*8/100,IF(F34=2,G34*6/100,0))</f>
        <v>0</v>
      </c>
      <c r="J34" s="7"/>
      <c r="L34" s="440"/>
    </row>
    <row r="35" spans="2:12" ht="18.75">
      <c r="B35" s="616" t="s">
        <v>247</v>
      </c>
      <c r="C35" s="375"/>
      <c r="D35" s="378"/>
      <c r="E35" s="605" t="s">
        <v>232</v>
      </c>
      <c r="F35" s="606">
        <v>1</v>
      </c>
      <c r="G35" s="607">
        <v>0</v>
      </c>
      <c r="H35" s="608"/>
      <c r="I35" s="609">
        <f>IF(F35=1,G35*8/100,IF(F35=2,G35*6/100,0))</f>
        <v>0</v>
      </c>
      <c r="J35" s="7"/>
      <c r="L35" s="440"/>
    </row>
    <row r="36" spans="2:12" ht="18.75">
      <c r="B36" s="324" t="s">
        <v>113</v>
      </c>
      <c r="C36" s="374"/>
      <c r="D36" s="378"/>
      <c r="E36" s="378"/>
      <c r="F36" s="379"/>
      <c r="G36" s="470"/>
      <c r="H36" s="383"/>
      <c r="I36" s="377"/>
      <c r="J36" s="383"/>
      <c r="K36" s="378"/>
      <c r="L36" s="326"/>
    </row>
    <row r="37" spans="2:12" ht="18.75">
      <c r="B37" s="324" t="s">
        <v>212</v>
      </c>
      <c r="C37" s="374"/>
      <c r="D37" s="378"/>
      <c r="E37" s="378"/>
      <c r="F37" s="379"/>
      <c r="G37" s="470"/>
      <c r="H37" s="383"/>
      <c r="I37" s="384"/>
      <c r="J37" s="383" t="s">
        <v>111</v>
      </c>
      <c r="K37" s="378"/>
      <c r="L37" s="326"/>
    </row>
    <row r="38" spans="2:12" ht="18.75">
      <c r="B38" s="376" t="s">
        <v>110</v>
      </c>
      <c r="C38" s="375"/>
      <c r="D38" s="378"/>
      <c r="E38" s="378"/>
      <c r="F38" s="379"/>
      <c r="G38" s="470">
        <v>0</v>
      </c>
      <c r="H38" s="383"/>
      <c r="I38" s="384">
        <f>G38*8/100</f>
        <v>0</v>
      </c>
      <c r="J38" s="7"/>
      <c r="L38" s="440"/>
    </row>
    <row r="39" spans="2:12" ht="18.75">
      <c r="B39" s="822" t="s">
        <v>112</v>
      </c>
      <c r="C39" s="374"/>
      <c r="D39" s="378"/>
      <c r="E39" s="378"/>
      <c r="F39" s="379"/>
      <c r="G39" s="470">
        <v>0</v>
      </c>
      <c r="H39" s="383"/>
      <c r="I39" s="384">
        <f>G39*8/100</f>
        <v>0</v>
      </c>
      <c r="J39" s="7"/>
      <c r="L39" s="440"/>
    </row>
    <row r="40" spans="2:12" ht="18.75">
      <c r="B40" s="324" t="s">
        <v>213</v>
      </c>
      <c r="C40" s="374"/>
      <c r="D40" s="378"/>
      <c r="E40" s="378"/>
      <c r="F40" s="379"/>
      <c r="G40" s="470"/>
      <c r="H40" s="383"/>
      <c r="I40" s="384"/>
      <c r="J40" s="7"/>
      <c r="L40" s="440"/>
    </row>
    <row r="41" spans="2:12" ht="18.75">
      <c r="B41" s="376" t="s">
        <v>110</v>
      </c>
      <c r="C41" s="374"/>
      <c r="D41" s="378"/>
      <c r="E41" s="378"/>
      <c r="F41" s="379"/>
      <c r="G41" s="470">
        <v>0</v>
      </c>
      <c r="H41" s="383"/>
      <c r="I41" s="384">
        <f>G41*12/100</f>
        <v>0</v>
      </c>
      <c r="J41" s="7"/>
      <c r="L41" s="440"/>
    </row>
    <row r="42" spans="1:12" ht="19.5" thickBot="1">
      <c r="A42" s="283"/>
      <c r="B42" s="399" t="s">
        <v>112</v>
      </c>
      <c r="C42" s="374"/>
      <c r="D42" s="337"/>
      <c r="E42" s="337"/>
      <c r="F42" s="381"/>
      <c r="G42" s="470">
        <v>0</v>
      </c>
      <c r="H42" s="382"/>
      <c r="I42" s="754">
        <f>G42*12/100</f>
        <v>0</v>
      </c>
      <c r="J42" s="9"/>
      <c r="K42" s="303"/>
      <c r="L42" s="283"/>
    </row>
    <row r="43" spans="1:12" ht="20.25" thickBot="1" thickTop="1">
      <c r="A43" s="6"/>
      <c r="B43" s="823" t="s">
        <v>349</v>
      </c>
      <c r="C43" s="824">
        <f>SUM(I31:I42)</f>
        <v>0</v>
      </c>
      <c r="D43" s="766"/>
      <c r="E43" s="762" t="s">
        <v>348</v>
      </c>
      <c r="F43" s="767"/>
      <c r="G43" s="825">
        <v>0</v>
      </c>
      <c r="H43" s="764"/>
      <c r="I43" s="833">
        <f>C43+G43</f>
        <v>0</v>
      </c>
      <c r="J43" s="756"/>
      <c r="K43" s="303"/>
      <c r="L43" s="283"/>
    </row>
    <row r="44" spans="1:12" ht="15" customHeight="1" thickTop="1">
      <c r="A44" s="162"/>
      <c r="B44" s="80" t="s">
        <v>117</v>
      </c>
      <c r="C44" s="336"/>
      <c r="D44" s="401"/>
      <c r="E44" s="401"/>
      <c r="F44" s="402"/>
      <c r="G44" s="297" t="s">
        <v>116</v>
      </c>
      <c r="H44" s="403" t="s">
        <v>118</v>
      </c>
      <c r="I44" s="755" t="s">
        <v>3</v>
      </c>
      <c r="J44" s="382" t="s">
        <v>119</v>
      </c>
      <c r="K44" s="404"/>
      <c r="L44" s="441"/>
    </row>
    <row r="45" spans="2:12" ht="18.75">
      <c r="B45" s="17" t="s">
        <v>237</v>
      </c>
      <c r="C45" s="371"/>
      <c r="D45" s="378"/>
      <c r="E45" s="378"/>
      <c r="F45" s="379"/>
      <c r="G45" s="383"/>
      <c r="H45" s="400"/>
      <c r="I45" s="452"/>
      <c r="J45" s="757" t="s">
        <v>111</v>
      </c>
      <c r="K45" s="484"/>
      <c r="L45" s="758"/>
    </row>
    <row r="46" spans="2:12" ht="18.75">
      <c r="B46" s="36" t="s">
        <v>233</v>
      </c>
      <c r="C46" s="371"/>
      <c r="G46" s="383"/>
      <c r="H46" s="400"/>
      <c r="I46" s="453"/>
      <c r="J46" s="759" t="s">
        <v>318</v>
      </c>
      <c r="K46" s="484"/>
      <c r="L46" s="758"/>
    </row>
    <row r="47" spans="2:12" ht="18.75">
      <c r="B47" s="376" t="s">
        <v>248</v>
      </c>
      <c r="C47" s="372"/>
      <c r="D47" s="451"/>
      <c r="E47" s="451"/>
      <c r="F47" s="193"/>
      <c r="G47" s="405">
        <v>0</v>
      </c>
      <c r="H47" s="405">
        <v>0</v>
      </c>
      <c r="I47" s="454">
        <f>G47+H47</f>
        <v>0</v>
      </c>
      <c r="J47" s="610" t="s">
        <v>235</v>
      </c>
      <c r="K47" s="611"/>
      <c r="L47" s="612"/>
    </row>
    <row r="48" spans="2:12" ht="18.75">
      <c r="B48" s="376" t="s">
        <v>165</v>
      </c>
      <c r="C48" s="451"/>
      <c r="D48" s="451"/>
      <c r="E48" s="451"/>
      <c r="F48" s="193"/>
      <c r="G48" s="405">
        <v>0</v>
      </c>
      <c r="H48" s="405">
        <v>0</v>
      </c>
      <c r="I48" s="454">
        <f>G48+H48</f>
        <v>0</v>
      </c>
      <c r="J48" s="610" t="s">
        <v>235</v>
      </c>
      <c r="K48" s="611"/>
      <c r="L48" s="612"/>
    </row>
    <row r="49" spans="2:12" ht="18.75">
      <c r="B49" s="376" t="s">
        <v>166</v>
      </c>
      <c r="C49" s="451"/>
      <c r="D49" s="451"/>
      <c r="E49" s="451"/>
      <c r="F49" s="193"/>
      <c r="G49" s="405">
        <v>0</v>
      </c>
      <c r="H49" s="405">
        <v>0</v>
      </c>
      <c r="I49" s="454">
        <f>G49+H49</f>
        <v>0</v>
      </c>
      <c r="J49" s="610" t="s">
        <v>235</v>
      </c>
      <c r="K49" s="611"/>
      <c r="L49" s="612"/>
    </row>
    <row r="50" spans="2:12" ht="18.75">
      <c r="B50" s="36" t="s">
        <v>234</v>
      </c>
      <c r="G50" s="138"/>
      <c r="H50" s="138"/>
      <c r="I50" s="453"/>
      <c r="L50" s="440"/>
    </row>
    <row r="51" spans="2:12" ht="18.75">
      <c r="B51" s="376" t="s">
        <v>236</v>
      </c>
      <c r="C51" s="451"/>
      <c r="D51" s="451"/>
      <c r="E51" s="371"/>
      <c r="F51" s="193"/>
      <c r="G51" s="405">
        <v>0</v>
      </c>
      <c r="H51" s="405">
        <v>0</v>
      </c>
      <c r="I51" s="454">
        <f>G51+H51</f>
        <v>0</v>
      </c>
      <c r="J51" s="610" t="s">
        <v>235</v>
      </c>
      <c r="K51" s="611"/>
      <c r="L51" s="612"/>
    </row>
    <row r="52" spans="2:12" ht="15" customHeight="1" thickBot="1">
      <c r="B52" s="399" t="s">
        <v>165</v>
      </c>
      <c r="C52" s="451"/>
      <c r="D52" s="451"/>
      <c r="E52" s="159"/>
      <c r="F52" s="193"/>
      <c r="G52" s="405">
        <v>0</v>
      </c>
      <c r="H52" s="405">
        <v>0</v>
      </c>
      <c r="I52" s="454">
        <f>G52+H52</f>
        <v>0</v>
      </c>
      <c r="J52" s="610" t="s">
        <v>235</v>
      </c>
      <c r="K52" s="611"/>
      <c r="L52" s="612"/>
    </row>
    <row r="53" spans="1:12" ht="18" customHeight="1" thickBot="1" thickTop="1">
      <c r="A53" s="162"/>
      <c r="B53" s="823" t="s">
        <v>350</v>
      </c>
      <c r="C53" s="826">
        <f>SUM(I47:I52)</f>
        <v>0</v>
      </c>
      <c r="D53" s="761"/>
      <c r="E53" s="762" t="s">
        <v>348</v>
      </c>
      <c r="F53" s="763"/>
      <c r="G53" s="827">
        <v>0</v>
      </c>
      <c r="H53" s="765"/>
      <c r="I53" s="760">
        <f>C53+G53</f>
        <v>0</v>
      </c>
      <c r="J53" s="756"/>
      <c r="K53" s="404"/>
      <c r="L53" s="441"/>
    </row>
    <row r="54" spans="1:12" ht="18" customHeight="1" thickBot="1" thickTop="1">
      <c r="A54" s="435"/>
      <c r="B54" s="436" t="s">
        <v>319</v>
      </c>
      <c r="C54" s="437"/>
      <c r="D54" s="437"/>
      <c r="E54" s="437"/>
      <c r="F54" s="438"/>
      <c r="G54" s="435"/>
      <c r="H54" s="435"/>
      <c r="I54" s="772">
        <f>I25+I43+I53</f>
        <v>0</v>
      </c>
      <c r="J54" s="435"/>
      <c r="K54" s="437"/>
      <c r="L54" s="435"/>
    </row>
    <row r="55" ht="19.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="130" zoomScaleSheetLayoutView="130" zoomScalePageLayoutView="0" workbookViewId="0" topLeftCell="A1">
      <selection activeCell="E7" sqref="E7"/>
    </sheetView>
  </sheetViews>
  <sheetFormatPr defaultColWidth="9.140625" defaultRowHeight="21.75"/>
  <cols>
    <col min="1" max="1" width="3.57421875" style="1" customWidth="1"/>
    <col min="2" max="2" width="57.00390625" style="1" customWidth="1"/>
    <col min="3" max="3" width="6.421875" style="1" customWidth="1"/>
    <col min="4" max="4" width="6.28125" style="52" customWidth="1"/>
    <col min="5" max="5" width="7.57421875" style="52" customWidth="1"/>
    <col min="6" max="6" width="7.28125" style="194" customWidth="1"/>
    <col min="7" max="7" width="17.00390625" style="1" customWidth="1"/>
    <col min="8" max="8" width="18.421875" style="1" customWidth="1"/>
    <col min="9" max="16384" width="9.140625" style="1" customWidth="1"/>
  </cols>
  <sheetData>
    <row r="1" spans="1:7" s="10" customFormat="1" ht="6.75" customHeight="1">
      <c r="A1" s="457"/>
      <c r="B1" s="457"/>
      <c r="C1" s="457"/>
      <c r="D1" s="457"/>
      <c r="E1" s="457"/>
      <c r="F1" s="458"/>
      <c r="G1" s="457"/>
    </row>
    <row r="2" spans="1:7" ht="17.25" customHeight="1">
      <c r="A2" s="64"/>
      <c r="B2" s="35" t="s">
        <v>0</v>
      </c>
      <c r="C2" s="35"/>
      <c r="D2" s="35"/>
      <c r="E2" s="35" t="s">
        <v>121</v>
      </c>
      <c r="F2" s="187" t="s">
        <v>5</v>
      </c>
      <c r="G2" s="579" t="s">
        <v>395</v>
      </c>
    </row>
    <row r="3" spans="1:7" ht="18.75" customHeight="1">
      <c r="A3" s="47">
        <v>3</v>
      </c>
      <c r="B3" s="37" t="s">
        <v>22</v>
      </c>
      <c r="C3" s="37"/>
      <c r="D3" s="37"/>
      <c r="E3" s="411" t="s">
        <v>62</v>
      </c>
      <c r="F3" s="412"/>
      <c r="G3" s="10" t="s">
        <v>23</v>
      </c>
    </row>
    <row r="4" spans="1:7" ht="17.25" customHeight="1">
      <c r="A4" s="10"/>
      <c r="B4" s="17" t="s">
        <v>217</v>
      </c>
      <c r="C4" s="12"/>
      <c r="D4" s="420"/>
      <c r="E4" s="408">
        <v>0</v>
      </c>
      <c r="F4" s="406">
        <f>16*E4/100</f>
        <v>0</v>
      </c>
      <c r="G4" s="409" t="s">
        <v>122</v>
      </c>
    </row>
    <row r="5" spans="1:7" ht="17.25" customHeight="1">
      <c r="A5" s="10"/>
      <c r="B5" s="421"/>
      <c r="C5" s="828"/>
      <c r="D5" s="420"/>
      <c r="E5" s="639"/>
      <c r="F5" s="640"/>
      <c r="G5" s="12"/>
    </row>
    <row r="6" spans="1:7" ht="17.25" customHeight="1">
      <c r="A6" s="10"/>
      <c r="B6" s="17" t="s">
        <v>240</v>
      </c>
      <c r="C6" s="12"/>
      <c r="D6" s="615" t="s">
        <v>238</v>
      </c>
      <c r="E6" s="408">
        <v>0</v>
      </c>
      <c r="F6" s="406">
        <f>4*E6/100</f>
        <v>0</v>
      </c>
      <c r="G6" s="10" t="s">
        <v>122</v>
      </c>
    </row>
    <row r="7" spans="1:7" ht="17.25" customHeight="1">
      <c r="A7" s="10"/>
      <c r="B7" s="17" t="s">
        <v>321</v>
      </c>
      <c r="C7" s="12"/>
      <c r="D7" s="615" t="s">
        <v>239</v>
      </c>
      <c r="E7" s="408">
        <v>0</v>
      </c>
      <c r="F7" s="406">
        <f>2*E7/100</f>
        <v>0</v>
      </c>
      <c r="G7" s="10"/>
    </row>
    <row r="8" spans="1:7" ht="17.25" customHeight="1">
      <c r="A8" s="10"/>
      <c r="B8" s="421"/>
      <c r="C8" s="828"/>
      <c r="D8" s="615"/>
      <c r="E8" s="408"/>
      <c r="F8" s="406"/>
      <c r="G8" s="10"/>
    </row>
    <row r="9" spans="1:7" ht="17.25" customHeight="1">
      <c r="A9" s="10"/>
      <c r="B9" s="421"/>
      <c r="C9" s="828"/>
      <c r="D9" s="615"/>
      <c r="E9" s="639"/>
      <c r="F9" s="640"/>
      <c r="G9" s="10"/>
    </row>
    <row r="10" spans="1:7" ht="18.75" customHeight="1">
      <c r="A10" s="10"/>
      <c r="B10" s="641"/>
      <c r="C10" s="829"/>
      <c r="D10" s="410"/>
      <c r="E10" s="639"/>
      <c r="F10" s="640"/>
      <c r="G10" s="12"/>
    </row>
    <row r="11" spans="1:7" ht="18.75" customHeight="1">
      <c r="A11" s="10"/>
      <c r="B11" s="17" t="s">
        <v>322</v>
      </c>
      <c r="C11" s="12"/>
      <c r="D11" s="420"/>
      <c r="E11" s="408">
        <v>0</v>
      </c>
      <c r="F11" s="406">
        <f>6*E11/100</f>
        <v>0</v>
      </c>
      <c r="G11" s="10" t="s">
        <v>122</v>
      </c>
    </row>
    <row r="12" spans="1:7" ht="18.75" customHeight="1">
      <c r="A12" s="10"/>
      <c r="B12" s="421"/>
      <c r="C12" s="828"/>
      <c r="D12" s="410"/>
      <c r="E12" s="408"/>
      <c r="F12" s="406"/>
      <c r="G12" s="12"/>
    </row>
    <row r="13" spans="1:7" ht="18.75" customHeight="1">
      <c r="A13" s="10"/>
      <c r="B13" s="421"/>
      <c r="C13" s="828"/>
      <c r="D13" s="410"/>
      <c r="E13" s="408"/>
      <c r="F13" s="406"/>
      <c r="G13" s="12"/>
    </row>
    <row r="14" spans="1:7" ht="18.75" customHeight="1">
      <c r="A14" s="12"/>
      <c r="B14" s="17" t="s">
        <v>215</v>
      </c>
      <c r="C14" s="12"/>
      <c r="D14" s="420"/>
      <c r="E14" s="408">
        <v>0</v>
      </c>
      <c r="F14" s="406">
        <f>6*E14/100</f>
        <v>0</v>
      </c>
      <c r="G14" s="12"/>
    </row>
    <row r="15" spans="1:7" ht="18.75" customHeight="1">
      <c r="A15" s="12"/>
      <c r="B15" s="581"/>
      <c r="C15" s="830"/>
      <c r="D15" s="580"/>
      <c r="E15" s="639"/>
      <c r="F15" s="640"/>
      <c r="G15" s="12"/>
    </row>
    <row r="16" spans="1:7" ht="18.75" customHeight="1">
      <c r="A16" s="12"/>
      <c r="B16" s="422" t="s">
        <v>216</v>
      </c>
      <c r="C16" s="831"/>
      <c r="D16" s="413" t="s">
        <v>123</v>
      </c>
      <c r="E16" s="642" t="s">
        <v>62</v>
      </c>
      <c r="F16" s="643"/>
      <c r="G16" s="12"/>
    </row>
    <row r="17" spans="1:7" ht="18.75" customHeight="1" thickBot="1">
      <c r="A17" s="12"/>
      <c r="B17" s="421" t="s">
        <v>124</v>
      </c>
      <c r="C17" s="903"/>
      <c r="D17" s="414">
        <v>0</v>
      </c>
      <c r="E17" s="832">
        <v>0</v>
      </c>
      <c r="F17" s="406">
        <f>D17*E17/100</f>
        <v>0</v>
      </c>
      <c r="G17" s="11"/>
    </row>
    <row r="18" spans="1:7" ht="19.5" customHeight="1" thickBot="1" thickTop="1">
      <c r="A18" s="15"/>
      <c r="B18" s="902" t="s">
        <v>380</v>
      </c>
      <c r="C18" s="899"/>
      <c r="D18" s="900"/>
      <c r="E18" s="901">
        <f>SUM(F4:F17)</f>
        <v>0</v>
      </c>
      <c r="F18" s="834">
        <f>C18+E18</f>
        <v>0</v>
      </c>
      <c r="G18" s="780"/>
    </row>
    <row r="19" spans="1:7" ht="18.75" customHeight="1" thickTop="1">
      <c r="A19" s="26">
        <v>4</v>
      </c>
      <c r="B19" s="582" t="s">
        <v>379</v>
      </c>
      <c r="C19" s="34"/>
      <c r="D19" s="583"/>
      <c r="E19" s="334" t="s">
        <v>133</v>
      </c>
      <c r="F19" s="774" t="s">
        <v>5</v>
      </c>
      <c r="G19" s="83" t="s">
        <v>26</v>
      </c>
    </row>
    <row r="20" spans="1:7" ht="22.5" customHeight="1">
      <c r="A20" s="47"/>
      <c r="B20" s="845" t="s">
        <v>416</v>
      </c>
      <c r="C20" s="254"/>
      <c r="D20" s="426">
        <v>0</v>
      </c>
      <c r="E20" s="446">
        <f>F20</f>
        <v>0</v>
      </c>
      <c r="F20" s="415">
        <f>D20*1</f>
        <v>0</v>
      </c>
      <c r="G20" s="83"/>
    </row>
    <row r="21" spans="1:7" s="651" customFormat="1" ht="18.75" customHeight="1">
      <c r="A21" s="646"/>
      <c r="B21" s="647" t="s">
        <v>276</v>
      </c>
      <c r="C21" s="904"/>
      <c r="D21" s="648"/>
      <c r="E21" s="648"/>
      <c r="F21" s="649"/>
      <c r="G21" s="650"/>
    </row>
    <row r="22" spans="1:7" ht="18.75" customHeight="1">
      <c r="A22" s="47"/>
      <c r="B22" s="72" t="s">
        <v>417</v>
      </c>
      <c r="C22" s="73"/>
      <c r="D22" s="426">
        <v>0</v>
      </c>
      <c r="E22" s="446">
        <f>F22</f>
        <v>0</v>
      </c>
      <c r="F22" s="415">
        <f>D22*2</f>
        <v>0</v>
      </c>
      <c r="G22" s="83"/>
    </row>
    <row r="23" spans="1:7" ht="18.75" customHeight="1">
      <c r="A23" s="47"/>
      <c r="B23" s="72" t="s">
        <v>418</v>
      </c>
      <c r="C23" s="73"/>
      <c r="D23" s="426">
        <v>0</v>
      </c>
      <c r="E23" s="446">
        <f>F23</f>
        <v>0</v>
      </c>
      <c r="F23" s="415">
        <f>D23*2</f>
        <v>0</v>
      </c>
      <c r="G23" s="83"/>
    </row>
    <row r="24" spans="1:7" ht="18.75" customHeight="1">
      <c r="A24" s="47"/>
      <c r="B24" s="72" t="s">
        <v>419</v>
      </c>
      <c r="C24" s="73"/>
      <c r="D24" s="426">
        <v>0</v>
      </c>
      <c r="E24" s="446">
        <f>F24</f>
        <v>0</v>
      </c>
      <c r="F24" s="415">
        <v>0</v>
      </c>
      <c r="G24" s="83"/>
    </row>
    <row r="25" spans="1:7" ht="18.75" customHeight="1">
      <c r="A25" s="12">
        <v>4.5</v>
      </c>
      <c r="B25" s="17" t="s">
        <v>420</v>
      </c>
      <c r="C25" s="14"/>
      <c r="D25" s="101">
        <v>0</v>
      </c>
      <c r="E25" s="446">
        <f>F25</f>
        <v>0</v>
      </c>
      <c r="F25" s="415">
        <f>+D25*0.5</f>
        <v>0</v>
      </c>
      <c r="G25" s="85"/>
    </row>
    <row r="26" spans="1:7" ht="18.75" customHeight="1">
      <c r="A26" s="12"/>
      <c r="B26" s="82" t="s">
        <v>221</v>
      </c>
      <c r="C26" s="836"/>
      <c r="D26" s="101"/>
      <c r="E26" s="446"/>
      <c r="F26" s="406"/>
      <c r="G26" s="85"/>
    </row>
    <row r="27" spans="1:7" ht="18.75" customHeight="1">
      <c r="A27" s="12"/>
      <c r="B27" s="17" t="s">
        <v>421</v>
      </c>
      <c r="C27" s="14"/>
      <c r="D27" s="101">
        <v>0</v>
      </c>
      <c r="E27" s="446">
        <f>F27</f>
        <v>0</v>
      </c>
      <c r="F27" s="189">
        <f>+D27*0.25</f>
        <v>0</v>
      </c>
      <c r="G27" s="85"/>
    </row>
    <row r="28" spans="1:7" ht="18.75" customHeight="1">
      <c r="A28" s="12"/>
      <c r="B28" s="82" t="s">
        <v>222</v>
      </c>
      <c r="C28" s="836"/>
      <c r="D28" s="424" t="s">
        <v>2</v>
      </c>
      <c r="E28" s="417"/>
      <c r="F28" s="407" t="s">
        <v>2</v>
      </c>
      <c r="G28" s="12"/>
    </row>
    <row r="29" spans="1:7" ht="18.75" customHeight="1">
      <c r="A29" s="12"/>
      <c r="B29" s="82" t="s">
        <v>422</v>
      </c>
      <c r="C29" s="836"/>
      <c r="D29" s="101">
        <v>0</v>
      </c>
      <c r="E29" s="446">
        <f>F29</f>
        <v>0</v>
      </c>
      <c r="F29" s="189">
        <f>+D29*0.5</f>
        <v>0</v>
      </c>
      <c r="G29" s="85"/>
    </row>
    <row r="30" spans="1:7" ht="18.75" customHeight="1">
      <c r="A30" s="12"/>
      <c r="B30" s="82"/>
      <c r="C30" s="836"/>
      <c r="D30" s="156"/>
      <c r="E30" s="446"/>
      <c r="F30" s="189"/>
      <c r="G30" s="85"/>
    </row>
    <row r="31" spans="1:7" ht="18.75" customHeight="1">
      <c r="A31" s="12"/>
      <c r="B31" s="427" t="s">
        <v>423</v>
      </c>
      <c r="C31" s="853"/>
      <c r="D31" s="156">
        <v>0</v>
      </c>
      <c r="E31" s="446">
        <f>F31</f>
        <v>0</v>
      </c>
      <c r="F31" s="189">
        <f>+D31*0.35</f>
        <v>0</v>
      </c>
      <c r="G31" s="85"/>
    </row>
    <row r="32" spans="1:7" ht="15" customHeight="1">
      <c r="A32" s="12"/>
      <c r="B32" s="82" t="s">
        <v>220</v>
      </c>
      <c r="C32" s="836"/>
      <c r="D32" s="424" t="s">
        <v>2</v>
      </c>
      <c r="E32" s="417"/>
      <c r="F32" s="407" t="s">
        <v>2</v>
      </c>
      <c r="G32" s="85"/>
    </row>
    <row r="33" spans="1:7" ht="18.75" customHeight="1">
      <c r="A33" s="12"/>
      <c r="B33" s="82" t="s">
        <v>424</v>
      </c>
      <c r="C33" s="836"/>
      <c r="D33" s="156">
        <v>0</v>
      </c>
      <c r="E33" s="446">
        <f>F33</f>
        <v>0</v>
      </c>
      <c r="F33" s="189">
        <f>+D33*0.5</f>
        <v>0</v>
      </c>
      <c r="G33" s="85"/>
    </row>
    <row r="34" spans="1:7" ht="18.75" customHeight="1">
      <c r="A34" s="47"/>
      <c r="B34" s="72" t="s">
        <v>425</v>
      </c>
      <c r="C34" s="73"/>
      <c r="D34" s="156">
        <v>0</v>
      </c>
      <c r="E34" s="446">
        <f>F34</f>
        <v>0</v>
      </c>
      <c r="F34" s="189">
        <f>+D34*0.5</f>
        <v>0</v>
      </c>
      <c r="G34" s="85"/>
    </row>
    <row r="35" spans="1:7" ht="16.5" customHeight="1">
      <c r="A35" s="47"/>
      <c r="B35" s="72"/>
      <c r="C35" s="73"/>
      <c r="D35" s="426"/>
      <c r="E35" s="446"/>
      <c r="F35" s="415"/>
      <c r="G35" s="83"/>
    </row>
    <row r="36" spans="1:7" ht="18.75" customHeight="1">
      <c r="A36" s="247">
        <v>4.6</v>
      </c>
      <c r="B36" s="72" t="s">
        <v>241</v>
      </c>
      <c r="C36" s="73"/>
      <c r="D36" s="426"/>
      <c r="E36" s="446"/>
      <c r="F36" s="415"/>
      <c r="G36" s="83"/>
    </row>
    <row r="37" spans="1:7" ht="18.75" customHeight="1">
      <c r="A37" s="10"/>
      <c r="B37" s="17" t="s">
        <v>426</v>
      </c>
      <c r="C37" s="14"/>
      <c r="D37" s="101">
        <v>0</v>
      </c>
      <c r="E37" s="446">
        <f>F37</f>
        <v>0</v>
      </c>
      <c r="F37" s="189">
        <f>+D37</f>
        <v>0</v>
      </c>
      <c r="G37" s="83"/>
    </row>
    <row r="38" spans="1:7" ht="18.75" customHeight="1">
      <c r="A38" s="12"/>
      <c r="B38" s="17" t="s">
        <v>427</v>
      </c>
      <c r="C38" s="14"/>
      <c r="D38" s="101">
        <v>0</v>
      </c>
      <c r="E38" s="446">
        <f>F38</f>
        <v>0</v>
      </c>
      <c r="F38" s="189">
        <f>+D38</f>
        <v>0</v>
      </c>
      <c r="G38" s="83"/>
    </row>
    <row r="39" spans="1:7" ht="18.75" customHeight="1">
      <c r="A39" s="12"/>
      <c r="B39" s="17" t="s">
        <v>428</v>
      </c>
      <c r="C39" s="14"/>
      <c r="D39" s="101">
        <v>0</v>
      </c>
      <c r="E39" s="446">
        <f>F39</f>
        <v>0</v>
      </c>
      <c r="F39" s="189">
        <f>+D39</f>
        <v>0</v>
      </c>
      <c r="G39" s="83"/>
    </row>
    <row r="40" spans="1:7" ht="18.75" customHeight="1">
      <c r="A40" s="12"/>
      <c r="B40" s="82" t="s">
        <v>168</v>
      </c>
      <c r="C40" s="836"/>
      <c r="D40" s="424" t="s">
        <v>2</v>
      </c>
      <c r="E40" s="417"/>
      <c r="F40" s="407" t="s">
        <v>2</v>
      </c>
      <c r="G40" s="12"/>
    </row>
    <row r="41" spans="1:7" ht="18.75" customHeight="1">
      <c r="A41" s="12">
        <v>4.6</v>
      </c>
      <c r="B41" s="72" t="s">
        <v>214</v>
      </c>
      <c r="C41" s="73"/>
      <c r="D41" s="424"/>
      <c r="E41" s="417"/>
      <c r="F41" s="407"/>
      <c r="G41" s="12"/>
    </row>
    <row r="42" spans="1:7" ht="18.75" customHeight="1">
      <c r="A42" s="12"/>
      <c r="B42" s="82" t="s">
        <v>444</v>
      </c>
      <c r="C42" s="836"/>
      <c r="D42" s="101">
        <v>0</v>
      </c>
      <c r="E42" s="446">
        <f>F42</f>
        <v>0</v>
      </c>
      <c r="F42" s="189">
        <f>+D42</f>
        <v>0</v>
      </c>
      <c r="G42" s="83"/>
    </row>
    <row r="43" spans="1:7" ht="18.75" customHeight="1">
      <c r="A43" s="12"/>
      <c r="B43" s="82" t="s">
        <v>242</v>
      </c>
      <c r="C43" s="836"/>
      <c r="D43" s="423"/>
      <c r="E43" s="416"/>
      <c r="F43" s="189"/>
      <c r="G43" s="83"/>
    </row>
    <row r="44" spans="1:7" ht="18.75" customHeight="1">
      <c r="A44" s="11"/>
      <c r="B44" s="79" t="s">
        <v>429</v>
      </c>
      <c r="C44" s="905"/>
      <c r="D44" s="105">
        <v>0</v>
      </c>
      <c r="E44" s="584">
        <f>F44</f>
        <v>0</v>
      </c>
      <c r="F44" s="329">
        <f>+D44</f>
        <v>0</v>
      </c>
      <c r="G44" s="86"/>
    </row>
    <row r="45" spans="1:7" ht="20.25" customHeight="1">
      <c r="A45" s="11"/>
      <c r="B45" s="44" t="s">
        <v>378</v>
      </c>
      <c r="C45" s="906"/>
      <c r="D45" s="907"/>
      <c r="E45" s="221">
        <f>SUM(E20:E44)</f>
        <v>0</v>
      </c>
      <c r="F45" s="329">
        <f>IF(SUM(F20:F44)&gt;12,12,SUM(F20:F44))</f>
        <v>0</v>
      </c>
      <c r="G45" s="418"/>
    </row>
    <row r="46" spans="1:7" s="180" customFormat="1" ht="5.25" customHeight="1">
      <c r="A46" s="177"/>
      <c r="B46" s="178"/>
      <c r="C46" s="178"/>
      <c r="D46" s="425"/>
      <c r="E46" s="425"/>
      <c r="F46" s="202"/>
      <c r="G46" s="179"/>
    </row>
    <row r="47" spans="1:7" ht="17.25" customHeight="1">
      <c r="A47" s="64"/>
      <c r="B47" s="35" t="s">
        <v>0</v>
      </c>
      <c r="C47" s="908"/>
      <c r="D47" s="776" t="s">
        <v>5</v>
      </c>
      <c r="E47" s="35"/>
      <c r="F47" s="203" t="s">
        <v>10</v>
      </c>
      <c r="G47" s="578" t="s">
        <v>396</v>
      </c>
    </row>
    <row r="48" spans="1:7" ht="17.25" customHeight="1">
      <c r="A48" s="12">
        <v>5</v>
      </c>
      <c r="B48" s="17" t="s">
        <v>126</v>
      </c>
      <c r="C48" s="835"/>
      <c r="D48" s="153"/>
      <c r="E48" s="154"/>
      <c r="F48" s="429"/>
      <c r="G48" s="12"/>
    </row>
    <row r="49" spans="1:7" ht="17.25" customHeight="1">
      <c r="A49" s="12"/>
      <c r="B49" s="82" t="s">
        <v>143</v>
      </c>
      <c r="C49" s="836"/>
      <c r="D49" s="160">
        <v>0</v>
      </c>
      <c r="E49" s="644"/>
      <c r="F49" s="777">
        <f>IF(D49&gt;3,3,D49)</f>
        <v>0</v>
      </c>
      <c r="G49" s="85" t="s">
        <v>230</v>
      </c>
    </row>
    <row r="50" spans="1:7" ht="17.25" customHeight="1">
      <c r="A50" s="12"/>
      <c r="B50" s="82" t="s">
        <v>59</v>
      </c>
      <c r="C50" s="836"/>
      <c r="D50" s="160"/>
      <c r="E50" s="644"/>
      <c r="F50" s="640"/>
      <c r="G50" s="85"/>
    </row>
    <row r="51" spans="1:7" ht="17.25" customHeight="1">
      <c r="A51" s="14"/>
      <c r="B51" s="82" t="s">
        <v>147</v>
      </c>
      <c r="C51" s="836"/>
      <c r="D51" s="428">
        <v>0</v>
      </c>
      <c r="E51" s="778"/>
      <c r="F51" s="777">
        <f>IF(D51&gt;3,3,D51)</f>
        <v>0</v>
      </c>
      <c r="G51" s="85"/>
    </row>
    <row r="52" spans="1:7" ht="17.25" customHeight="1" thickBot="1">
      <c r="A52" s="11"/>
      <c r="B52" s="82" t="s">
        <v>125</v>
      </c>
      <c r="C52" s="836"/>
      <c r="D52" s="156"/>
      <c r="E52" s="645"/>
      <c r="F52" s="777"/>
      <c r="G52" s="86"/>
    </row>
    <row r="53" spans="1:7" ht="20.25" customHeight="1" thickBot="1" thickTop="1">
      <c r="A53" s="11"/>
      <c r="B53" s="779" t="s">
        <v>377</v>
      </c>
      <c r="C53" s="899"/>
      <c r="D53" s="900"/>
      <c r="E53" s="901"/>
      <c r="F53" s="837">
        <f>SUM(F49:F52)</f>
        <v>0</v>
      </c>
      <c r="G53" s="780"/>
    </row>
    <row r="54" spans="1:7" ht="17.25" customHeight="1" thickTop="1">
      <c r="A54" s="50">
        <v>6</v>
      </c>
      <c r="B54" s="47" t="s">
        <v>138</v>
      </c>
      <c r="C54" s="47"/>
      <c r="D54" s="775" t="s">
        <v>5</v>
      </c>
      <c r="E54" s="29"/>
      <c r="F54" s="201"/>
      <c r="G54" s="10" t="s">
        <v>14</v>
      </c>
    </row>
    <row r="55" spans="1:7" ht="20.25" customHeight="1">
      <c r="A55" s="14"/>
      <c r="B55" s="10" t="s">
        <v>127</v>
      </c>
      <c r="C55" s="10"/>
      <c r="D55" s="101">
        <v>0</v>
      </c>
      <c r="E55" s="156"/>
      <c r="F55" s="200">
        <f>+D55</f>
        <v>0</v>
      </c>
      <c r="G55" s="83" t="s">
        <v>44</v>
      </c>
    </row>
    <row r="56" spans="1:7" ht="20.25" customHeight="1">
      <c r="A56" s="14"/>
      <c r="B56" s="10" t="s">
        <v>430</v>
      </c>
      <c r="C56" s="10"/>
      <c r="D56" s="102">
        <v>0</v>
      </c>
      <c r="E56" s="156"/>
      <c r="F56" s="200">
        <f>+IF(F55&gt;0,0,D56)</f>
        <v>0</v>
      </c>
      <c r="G56" s="83" t="s">
        <v>44</v>
      </c>
    </row>
    <row r="57" spans="1:7" ht="20.25" customHeight="1">
      <c r="A57" s="14"/>
      <c r="B57" s="204" t="s">
        <v>431</v>
      </c>
      <c r="C57" s="204"/>
      <c r="D57" s="102">
        <v>0</v>
      </c>
      <c r="E57" s="156"/>
      <c r="F57" s="200">
        <f>+IF((F56+F55)&gt;0,0,D57)</f>
        <v>0</v>
      </c>
      <c r="G57" s="83" t="s">
        <v>44</v>
      </c>
    </row>
    <row r="58" spans="1:7" ht="20.25" customHeight="1">
      <c r="A58" s="14"/>
      <c r="B58" s="149" t="s">
        <v>320</v>
      </c>
      <c r="C58" s="149"/>
      <c r="D58" s="102"/>
      <c r="E58" s="156"/>
      <c r="F58" s="200"/>
      <c r="G58" s="83"/>
    </row>
    <row r="59" spans="1:7" ht="20.25" customHeight="1">
      <c r="A59" s="14"/>
      <c r="B59" s="149" t="s">
        <v>129</v>
      </c>
      <c r="C59" s="149"/>
      <c r="D59" s="102">
        <v>0</v>
      </c>
      <c r="E59" s="156"/>
      <c r="F59" s="200">
        <f>+IF((F55+F56+F57)&gt;0,0,D59)</f>
        <v>0</v>
      </c>
      <c r="G59" s="83" t="s">
        <v>44</v>
      </c>
    </row>
    <row r="60" spans="1:7" ht="20.25" customHeight="1">
      <c r="A60" s="14"/>
      <c r="B60" s="149" t="s">
        <v>128</v>
      </c>
      <c r="C60" s="149"/>
      <c r="D60" s="102">
        <v>0</v>
      </c>
      <c r="E60" s="419">
        <f>D60*0.5</f>
        <v>0</v>
      </c>
      <c r="F60" s="200">
        <f>IF(E60&gt;4,4,E60)</f>
        <v>0</v>
      </c>
      <c r="G60" s="83"/>
    </row>
    <row r="61" spans="1:7" ht="20.25" customHeight="1">
      <c r="A61" s="14"/>
      <c r="B61" s="432" t="s">
        <v>169</v>
      </c>
      <c r="C61" s="432"/>
      <c r="D61" s="102"/>
      <c r="E61" s="156"/>
      <c r="F61" s="200"/>
      <c r="G61" s="83"/>
    </row>
    <row r="62" spans="1:7" ht="20.25" customHeight="1">
      <c r="A62" s="14"/>
      <c r="B62" s="184" t="s">
        <v>432</v>
      </c>
      <c r="C62" s="184"/>
      <c r="D62" s="102">
        <v>0</v>
      </c>
      <c r="E62" s="186"/>
      <c r="F62" s="189">
        <f>D62</f>
        <v>0</v>
      </c>
      <c r="G62" s="83" t="s">
        <v>44</v>
      </c>
    </row>
    <row r="63" spans="1:7" ht="20.25" customHeight="1">
      <c r="A63" s="14"/>
      <c r="B63" s="78" t="s">
        <v>433</v>
      </c>
      <c r="C63" s="78"/>
      <c r="D63" s="102">
        <v>0</v>
      </c>
      <c r="E63" s="186"/>
      <c r="F63" s="189">
        <f>D63</f>
        <v>0</v>
      </c>
      <c r="G63" s="83" t="s">
        <v>44</v>
      </c>
    </row>
    <row r="64" spans="1:7" ht="20.25" customHeight="1">
      <c r="A64" s="14"/>
      <c r="B64" s="1030" t="s">
        <v>445</v>
      </c>
      <c r="C64" s="78"/>
      <c r="D64" s="102">
        <v>0</v>
      </c>
      <c r="E64" s="186"/>
      <c r="F64" s="189">
        <f>IF(D64&gt;4,4,D64)</f>
        <v>0</v>
      </c>
      <c r="G64" s="83"/>
    </row>
    <row r="65" spans="1:7" ht="20.25" customHeight="1">
      <c r="A65" s="14"/>
      <c r="B65" s="1031" t="s">
        <v>446</v>
      </c>
      <c r="C65" s="78"/>
      <c r="D65" s="102">
        <v>0</v>
      </c>
      <c r="E65" s="186"/>
      <c r="F65" s="189">
        <f>D65</f>
        <v>0</v>
      </c>
      <c r="G65" s="83" t="s">
        <v>44</v>
      </c>
    </row>
    <row r="66" spans="1:7" ht="20.25" customHeight="1">
      <c r="A66" s="14"/>
      <c r="B66" s="78" t="s">
        <v>434</v>
      </c>
      <c r="C66" s="78"/>
      <c r="D66" s="102">
        <v>0</v>
      </c>
      <c r="E66" s="186"/>
      <c r="F66" s="189">
        <f>IF(D66&gt;3,3,D66)</f>
        <v>0</v>
      </c>
      <c r="G66" s="83" t="s">
        <v>44</v>
      </c>
    </row>
    <row r="67" spans="1:7" ht="20.25" customHeight="1">
      <c r="A67" s="14"/>
      <c r="B67" s="78" t="s">
        <v>435</v>
      </c>
      <c r="C67" s="78"/>
      <c r="D67" s="102">
        <v>0</v>
      </c>
      <c r="E67" s="186"/>
      <c r="F67" s="189">
        <f>IF(D67&gt;4,4,D67)</f>
        <v>0</v>
      </c>
      <c r="G67" s="83" t="s">
        <v>44</v>
      </c>
    </row>
    <row r="68" spans="1:7" ht="20.25" customHeight="1">
      <c r="A68" s="14"/>
      <c r="B68" s="449" t="s">
        <v>59</v>
      </c>
      <c r="C68" s="449"/>
      <c r="D68" s="102"/>
      <c r="E68" s="186"/>
      <c r="F68" s="189"/>
      <c r="G68" s="83"/>
    </row>
    <row r="69" spans="1:7" ht="20.25" customHeight="1">
      <c r="A69" s="14"/>
      <c r="B69" s="450" t="s">
        <v>436</v>
      </c>
      <c r="C69" s="450"/>
      <c r="D69" s="102">
        <v>0</v>
      </c>
      <c r="E69" s="186"/>
      <c r="F69" s="189">
        <f>IF(D69&gt;3,3,D69)</f>
        <v>0</v>
      </c>
      <c r="G69" s="83" t="s">
        <v>44</v>
      </c>
    </row>
    <row r="70" spans="1:7" ht="20.25" customHeight="1">
      <c r="A70" s="14"/>
      <c r="B70" s="432" t="s">
        <v>167</v>
      </c>
      <c r="C70" s="432"/>
      <c r="D70" s="102"/>
      <c r="E70" s="186"/>
      <c r="F70" s="189"/>
      <c r="G70" s="83"/>
    </row>
    <row r="71" spans="1:7" ht="20.25" customHeight="1">
      <c r="A71" s="14"/>
      <c r="B71" s="184" t="s">
        <v>437</v>
      </c>
      <c r="C71" s="184"/>
      <c r="D71" s="102">
        <v>0</v>
      </c>
      <c r="E71" s="197"/>
      <c r="F71" s="189">
        <f>D71</f>
        <v>0</v>
      </c>
      <c r="G71" s="83" t="s">
        <v>44</v>
      </c>
    </row>
    <row r="72" spans="1:7" ht="20.25" customHeight="1">
      <c r="A72" s="14"/>
      <c r="B72" s="151" t="s">
        <v>137</v>
      </c>
      <c r="C72" s="151"/>
      <c r="D72" s="205" t="s">
        <v>2</v>
      </c>
      <c r="E72" s="186"/>
      <c r="F72" s="189" t="str">
        <f>+D72</f>
        <v>-</v>
      </c>
      <c r="G72" s="613"/>
    </row>
    <row r="73" spans="1:7" ht="20.25" customHeight="1">
      <c r="A73" s="14"/>
      <c r="B73" s="184" t="s">
        <v>438</v>
      </c>
      <c r="C73" s="184"/>
      <c r="D73" s="448">
        <v>0</v>
      </c>
      <c r="E73" s="186"/>
      <c r="F73" s="189">
        <f>D73</f>
        <v>0</v>
      </c>
      <c r="G73" s="92" t="s">
        <v>139</v>
      </c>
    </row>
    <row r="74" spans="1:7" ht="20.25" customHeight="1">
      <c r="A74" s="14"/>
      <c r="B74" s="151" t="s">
        <v>136</v>
      </c>
      <c r="C74" s="151"/>
      <c r="D74" s="448"/>
      <c r="E74" s="186"/>
      <c r="F74" s="189"/>
      <c r="G74" s="613"/>
    </row>
    <row r="75" spans="1:7" ht="20.25" customHeight="1">
      <c r="A75" s="14"/>
      <c r="B75" s="151" t="s">
        <v>439</v>
      </c>
      <c r="C75" s="151"/>
      <c r="D75" s="157">
        <v>0</v>
      </c>
      <c r="E75" s="197"/>
      <c r="F75" s="189">
        <f>D75</f>
        <v>0</v>
      </c>
      <c r="G75" s="83" t="s">
        <v>44</v>
      </c>
    </row>
    <row r="76" spans="1:7" ht="20.25" customHeight="1">
      <c r="A76" s="14"/>
      <c r="B76" s="151" t="s">
        <v>149</v>
      </c>
      <c r="C76" s="151"/>
      <c r="D76" s="157" t="s">
        <v>2</v>
      </c>
      <c r="E76" s="199"/>
      <c r="F76" s="430" t="str">
        <f>+D76</f>
        <v>-</v>
      </c>
      <c r="G76" s="92"/>
    </row>
    <row r="77" spans="1:7" ht="20.25" customHeight="1">
      <c r="A77" s="14"/>
      <c r="B77" s="184" t="s">
        <v>440</v>
      </c>
      <c r="C77" s="184"/>
      <c r="D77" s="102">
        <v>0</v>
      </c>
      <c r="E77" s="186"/>
      <c r="F77" s="189">
        <f>+D77</f>
        <v>0</v>
      </c>
      <c r="G77" s="104" t="s">
        <v>36</v>
      </c>
    </row>
    <row r="78" spans="1:7" ht="20.25" customHeight="1" thickBot="1">
      <c r="A78" s="48"/>
      <c r="B78" s="77" t="s">
        <v>51</v>
      </c>
      <c r="C78" s="184"/>
      <c r="D78" s="84" t="s">
        <v>2</v>
      </c>
      <c r="E78" s="196"/>
      <c r="F78" s="407" t="s">
        <v>2</v>
      </c>
      <c r="G78" s="11"/>
    </row>
    <row r="79" spans="1:7" ht="18" customHeight="1" thickBot="1" thickTop="1">
      <c r="A79" s="89"/>
      <c r="B79" s="838" t="s">
        <v>376</v>
      </c>
      <c r="C79" s="899"/>
      <c r="D79" s="900"/>
      <c r="E79" s="901"/>
      <c r="F79" s="1032">
        <f>SUM(F55:F78)</f>
        <v>0</v>
      </c>
      <c r="G79" s="780"/>
    </row>
    <row r="80" spans="1:7" ht="20.25" customHeight="1" thickTop="1">
      <c r="A80" s="87">
        <v>7</v>
      </c>
      <c r="B80" s="40" t="s">
        <v>144</v>
      </c>
      <c r="C80" s="40"/>
      <c r="D80" s="32"/>
      <c r="E80" s="32"/>
      <c r="F80" s="189"/>
      <c r="G80" s="78"/>
    </row>
    <row r="81" spans="1:7" ht="20.25" customHeight="1">
      <c r="A81" s="14"/>
      <c r="B81" s="82" t="s">
        <v>27</v>
      </c>
      <c r="C81" s="836"/>
      <c r="D81" s="431">
        <v>0</v>
      </c>
      <c r="E81" s="186"/>
      <c r="F81" s="189">
        <f>IF(D81&gt;8,8,D81)</f>
        <v>0</v>
      </c>
      <c r="G81" s="184"/>
    </row>
    <row r="82" spans="1:7" ht="20.25" customHeight="1" thickBot="1">
      <c r="A82" s="11"/>
      <c r="B82" s="79" t="s">
        <v>43</v>
      </c>
      <c r="C82" s="184"/>
      <c r="D82" s="105">
        <v>0</v>
      </c>
      <c r="E82" s="198"/>
      <c r="F82" s="189">
        <f>IF(D82&gt;6,6,D82)</f>
        <v>0</v>
      </c>
      <c r="G82" s="468" t="s">
        <v>145</v>
      </c>
    </row>
    <row r="83" spans="1:7" ht="20.25" customHeight="1" thickBot="1" thickTop="1">
      <c r="A83" s="11"/>
      <c r="B83" s="839" t="s">
        <v>375</v>
      </c>
      <c r="C83" s="899"/>
      <c r="D83" s="900"/>
      <c r="E83" s="901"/>
      <c r="F83" s="1033">
        <f>SUM(F81:F82)</f>
        <v>0</v>
      </c>
      <c r="G83" s="780"/>
    </row>
    <row r="84" spans="1:7" ht="20.25" customHeight="1" thickTop="1">
      <c r="A84" s="10">
        <v>8</v>
      </c>
      <c r="B84" s="17" t="s">
        <v>12</v>
      </c>
      <c r="C84" s="848"/>
      <c r="D84" s="182"/>
      <c r="E84" s="32"/>
      <c r="F84" s="851"/>
      <c r="G84" s="10"/>
    </row>
    <row r="85" spans="1:7" ht="20.25" customHeight="1">
      <c r="A85" s="10"/>
      <c r="B85" s="82" t="s">
        <v>146</v>
      </c>
      <c r="C85" s="853"/>
      <c r="D85" s="101">
        <v>0</v>
      </c>
      <c r="E85" s="186"/>
      <c r="F85" s="189">
        <f>+D85*2</f>
        <v>0</v>
      </c>
      <c r="G85" s="85" t="s">
        <v>29</v>
      </c>
    </row>
    <row r="86" spans="1:7" ht="20.25" customHeight="1">
      <c r="A86" s="12"/>
      <c r="B86" s="427" t="s">
        <v>130</v>
      </c>
      <c r="C86" s="853"/>
      <c r="D86" s="101">
        <v>0</v>
      </c>
      <c r="E86" s="186"/>
      <c r="F86" s="189">
        <f>+D86</f>
        <v>0</v>
      </c>
      <c r="G86" s="85" t="s">
        <v>28</v>
      </c>
    </row>
    <row r="87" spans="1:7" ht="20.25" customHeight="1">
      <c r="A87" s="88"/>
      <c r="B87" s="846" t="s">
        <v>167</v>
      </c>
      <c r="C87" s="849"/>
      <c r="D87" s="81" t="s">
        <v>2</v>
      </c>
      <c r="E87" s="195"/>
      <c r="F87" s="407" t="s">
        <v>2</v>
      </c>
      <c r="G87" s="88"/>
    </row>
    <row r="88" spans="1:7" ht="18" customHeight="1" thickBot="1">
      <c r="A88" s="88"/>
      <c r="B88" s="847" t="s">
        <v>243</v>
      </c>
      <c r="C88" s="850"/>
      <c r="D88" s="614">
        <v>0</v>
      </c>
      <c r="E88" s="195"/>
      <c r="F88" s="852">
        <f>D88</f>
        <v>0</v>
      </c>
      <c r="G88" s="88"/>
    </row>
    <row r="89" spans="1:7" ht="19.5" customHeight="1" thickBot="1" thickTop="1">
      <c r="A89" s="15"/>
      <c r="B89" s="854" t="s">
        <v>441</v>
      </c>
      <c r="C89" s="899"/>
      <c r="D89" s="900"/>
      <c r="E89" s="901"/>
      <c r="F89" s="898">
        <f>IF(SUM(F85:F88)&gt;6,6,SUM(F85:F88))</f>
        <v>0</v>
      </c>
      <c r="G89" s="780"/>
    </row>
    <row r="90" spans="1:7" ht="19.5" customHeight="1" thickTop="1">
      <c r="A90" s="15"/>
      <c r="B90" s="855" t="s">
        <v>381</v>
      </c>
      <c r="C90" s="856"/>
      <c r="D90" s="896"/>
      <c r="E90" s="897"/>
      <c r="F90" s="857">
        <f>SUM(F93:F104)</f>
        <v>0</v>
      </c>
      <c r="G90" s="15"/>
    </row>
    <row r="91" spans="1:7" ht="19.5" customHeight="1">
      <c r="A91" s="12"/>
      <c r="B91" s="781"/>
      <c r="C91" s="781"/>
      <c r="D91" s="782"/>
      <c r="E91" s="51"/>
      <c r="F91" s="206"/>
      <c r="G91" s="12" t="s">
        <v>397</v>
      </c>
    </row>
    <row r="92" spans="1:7" ht="18.75" customHeight="1">
      <c r="A92" s="152"/>
      <c r="B92" s="858" t="s">
        <v>323</v>
      </c>
      <c r="C92" s="858" t="s">
        <v>374</v>
      </c>
      <c r="D92" s="894">
        <v>1</v>
      </c>
      <c r="E92" s="894">
        <v>2</v>
      </c>
      <c r="F92" s="455" t="s">
        <v>3</v>
      </c>
      <c r="G92" s="10"/>
    </row>
    <row r="93" spans="1:7" ht="18.75" customHeight="1">
      <c r="A93" s="152"/>
      <c r="B93" s="860" t="s">
        <v>193</v>
      </c>
      <c r="C93" s="860"/>
      <c r="D93" s="895">
        <f>'สอนภาค1 '!$H$71</f>
        <v>0</v>
      </c>
      <c r="E93" s="895">
        <f>'สอนภาค2 p4-6'!$H$71</f>
        <v>0</v>
      </c>
      <c r="F93" s="455">
        <f>D93+E93</f>
        <v>0</v>
      </c>
      <c r="G93" s="10"/>
    </row>
    <row r="94" spans="1:7" ht="18.75" customHeight="1">
      <c r="A94" s="152"/>
      <c r="B94" s="860" t="s">
        <v>192</v>
      </c>
      <c r="C94" s="860"/>
      <c r="D94" s="895">
        <f>'สอนภาค1 '!$H$107</f>
        <v>0</v>
      </c>
      <c r="E94" s="895">
        <f>'สอนภาค2 p4-6'!$H$107</f>
        <v>0</v>
      </c>
      <c r="F94" s="455">
        <f>D94+E94</f>
        <v>0</v>
      </c>
      <c r="G94" s="10"/>
    </row>
    <row r="95" spans="1:7" ht="18.75" customHeight="1">
      <c r="A95" s="152"/>
      <c r="B95" s="860" t="s">
        <v>191</v>
      </c>
      <c r="C95" s="860"/>
      <c r="D95" s="895">
        <f>'สอนภาค1 '!$H$131</f>
        <v>0</v>
      </c>
      <c r="E95" s="895">
        <f>'สอนภาค2 p4-6'!$H$135</f>
        <v>0</v>
      </c>
      <c r="F95" s="455">
        <f>D95+E95</f>
        <v>0</v>
      </c>
      <c r="G95" s="10"/>
    </row>
    <row r="96" spans="1:7" ht="18.75" customHeight="1">
      <c r="A96" s="152"/>
      <c r="B96" s="860" t="s">
        <v>194</v>
      </c>
      <c r="C96" s="860"/>
      <c r="D96" s="895">
        <f>'สอนภาค1 '!$H$115</f>
        <v>0</v>
      </c>
      <c r="E96" s="895">
        <f>'สอนภาค2 p4-6'!$H$115</f>
        <v>0</v>
      </c>
      <c r="F96" s="455">
        <f>D96+E96</f>
        <v>0</v>
      </c>
      <c r="G96" s="10"/>
    </row>
    <row r="97" spans="1:7" ht="18.75" customHeight="1">
      <c r="A97" s="152"/>
      <c r="B97" s="860" t="s">
        <v>34</v>
      </c>
      <c r="C97" s="860"/>
      <c r="D97" s="895"/>
      <c r="E97" s="895"/>
      <c r="F97" s="455">
        <f>' Thesis p 7'!$E$36</f>
        <v>0</v>
      </c>
      <c r="G97" s="10"/>
    </row>
    <row r="98" spans="1:7" ht="18.75" customHeight="1">
      <c r="A98" s="152"/>
      <c r="B98" s="860" t="s">
        <v>25</v>
      </c>
      <c r="C98" s="860"/>
      <c r="D98" s="859"/>
      <c r="E98" s="859"/>
      <c r="F98" s="455">
        <f>'วิจัย 2.1-1.4 p 8-10'!$I$54</f>
        <v>0</v>
      </c>
      <c r="G98" s="10"/>
    </row>
    <row r="99" spans="1:7" ht="18.75" customHeight="1">
      <c r="A99" s="152"/>
      <c r="B99" s="860" t="s">
        <v>24</v>
      </c>
      <c r="C99" s="860"/>
      <c r="D99" s="859"/>
      <c r="E99" s="859"/>
      <c r="F99" s="455">
        <f>F18</f>
        <v>0</v>
      </c>
      <c r="G99" s="10"/>
    </row>
    <row r="100" spans="1:7" ht="18.75" customHeight="1">
      <c r="A100" s="152"/>
      <c r="B100" s="860" t="s">
        <v>30</v>
      </c>
      <c r="C100" s="860"/>
      <c r="D100" s="859"/>
      <c r="E100" s="859"/>
      <c r="F100" s="455">
        <f>F45</f>
        <v>0</v>
      </c>
      <c r="G100" s="10"/>
    </row>
    <row r="101" spans="1:7" ht="18.75" customHeight="1">
      <c r="A101" s="152"/>
      <c r="B101" s="860" t="s">
        <v>226</v>
      </c>
      <c r="C101" s="860"/>
      <c r="D101" s="859"/>
      <c r="E101" s="859"/>
      <c r="F101" s="455">
        <f>F53</f>
        <v>0</v>
      </c>
      <c r="G101" s="10"/>
    </row>
    <row r="102" spans="1:7" ht="18.75" customHeight="1">
      <c r="A102" s="152"/>
      <c r="B102" s="860" t="s">
        <v>227</v>
      </c>
      <c r="C102" s="860"/>
      <c r="D102" s="859"/>
      <c r="E102" s="859"/>
      <c r="F102" s="455">
        <f>F79</f>
        <v>0</v>
      </c>
      <c r="G102" s="10"/>
    </row>
    <row r="103" spans="1:7" ht="18.75" customHeight="1">
      <c r="A103" s="152"/>
      <c r="B103" s="860" t="s">
        <v>228</v>
      </c>
      <c r="C103" s="860"/>
      <c r="D103" s="859"/>
      <c r="E103" s="859"/>
      <c r="F103" s="455">
        <f>F83</f>
        <v>0</v>
      </c>
      <c r="G103" s="10"/>
    </row>
    <row r="104" spans="1:7" ht="18.75" customHeight="1">
      <c r="A104" s="152"/>
      <c r="B104" s="860" t="s">
        <v>229</v>
      </c>
      <c r="C104" s="860"/>
      <c r="D104" s="859"/>
      <c r="E104" s="859"/>
      <c r="F104" s="455">
        <f>F89</f>
        <v>0</v>
      </c>
      <c r="G104" s="10"/>
    </row>
    <row r="105" spans="1:7" ht="18" customHeight="1" thickBot="1">
      <c r="A105" s="152"/>
      <c r="B105" s="858"/>
      <c r="C105" s="858"/>
      <c r="D105" s="859"/>
      <c r="E105" s="859"/>
      <c r="F105" s="455"/>
      <c r="G105" s="10"/>
    </row>
    <row r="106" spans="1:7" ht="21" customHeight="1">
      <c r="A106" s="152"/>
      <c r="B106" s="861" t="s">
        <v>141</v>
      </c>
      <c r="C106" s="862"/>
      <c r="D106" s="863"/>
      <c r="E106" s="863"/>
      <c r="F106" s="459"/>
      <c r="G106" s="10"/>
    </row>
    <row r="107" spans="1:7" ht="24" customHeight="1">
      <c r="A107" s="152"/>
      <c r="B107" s="864" t="s">
        <v>31</v>
      </c>
      <c r="C107" s="865"/>
      <c r="D107" s="866"/>
      <c r="E107" s="866"/>
      <c r="F107" s="460" t="e">
        <f>+(F93+F94+F95+F96+F97)/F90*10</f>
        <v>#DIV/0!</v>
      </c>
      <c r="G107" s="10"/>
    </row>
    <row r="108" spans="1:7" ht="24" customHeight="1">
      <c r="A108" s="152"/>
      <c r="B108" s="867" t="s">
        <v>25</v>
      </c>
      <c r="C108" s="868"/>
      <c r="D108" s="866"/>
      <c r="E108" s="866"/>
      <c r="F108" s="460" t="e">
        <f>F98/F90*10</f>
        <v>#DIV/0!</v>
      </c>
      <c r="G108" s="10"/>
    </row>
    <row r="109" spans="1:7" ht="24" customHeight="1">
      <c r="A109" s="152"/>
      <c r="B109" s="867" t="s">
        <v>24</v>
      </c>
      <c r="C109" s="868"/>
      <c r="D109" s="866"/>
      <c r="E109" s="866"/>
      <c r="F109" s="460" t="e">
        <f>F99/F90*10</f>
        <v>#DIV/0!</v>
      </c>
      <c r="G109" s="10"/>
    </row>
    <row r="110" spans="1:7" ht="24" customHeight="1">
      <c r="A110" s="152"/>
      <c r="B110" s="869" t="s">
        <v>30</v>
      </c>
      <c r="C110" s="870"/>
      <c r="D110" s="866"/>
      <c r="E110" s="866"/>
      <c r="F110" s="460" t="e">
        <f>F100/F90*10</f>
        <v>#DIV/0!</v>
      </c>
      <c r="G110" s="10"/>
    </row>
    <row r="111" spans="1:7" ht="24" customHeight="1">
      <c r="A111" s="152"/>
      <c r="B111" s="869" t="s">
        <v>244</v>
      </c>
      <c r="C111" s="870"/>
      <c r="D111" s="866"/>
      <c r="E111" s="866"/>
      <c r="F111" s="460" t="e">
        <f>F101*10/F90</f>
        <v>#DIV/0!</v>
      </c>
      <c r="G111" s="10"/>
    </row>
    <row r="112" spans="1:7" ht="24" customHeight="1">
      <c r="A112" s="152"/>
      <c r="B112" s="869" t="s">
        <v>227</v>
      </c>
      <c r="C112" s="870"/>
      <c r="D112" s="866"/>
      <c r="E112" s="866"/>
      <c r="F112" s="460" t="e">
        <f>F102/F90*10</f>
        <v>#DIV/0!</v>
      </c>
      <c r="G112" s="10"/>
    </row>
    <row r="113" spans="1:7" ht="24" customHeight="1">
      <c r="A113" s="152"/>
      <c r="B113" s="869" t="s">
        <v>228</v>
      </c>
      <c r="C113" s="870"/>
      <c r="D113" s="866"/>
      <c r="E113" s="866"/>
      <c r="F113" s="460" t="e">
        <f>F103/F90*10</f>
        <v>#DIV/0!</v>
      </c>
      <c r="G113" s="10"/>
    </row>
    <row r="114" spans="1:7" ht="24" customHeight="1" thickBot="1">
      <c r="A114" s="152"/>
      <c r="B114" s="871" t="s">
        <v>245</v>
      </c>
      <c r="C114" s="872"/>
      <c r="D114" s="873"/>
      <c r="E114" s="873"/>
      <c r="F114" s="461" t="e">
        <f>F104/F90*10</f>
        <v>#DIV/0!</v>
      </c>
      <c r="G114" s="152"/>
    </row>
    <row r="115" spans="1:7" ht="16.5" customHeight="1">
      <c r="A115" s="152"/>
      <c r="B115" s="870"/>
      <c r="C115" s="870"/>
      <c r="D115" s="866"/>
      <c r="E115" s="866"/>
      <c r="F115" s="190"/>
      <c r="G115" s="152"/>
    </row>
    <row r="116" spans="1:7" ht="24" customHeight="1">
      <c r="A116" s="10"/>
      <c r="B116" s="10" t="s">
        <v>142</v>
      </c>
      <c r="C116" s="10"/>
      <c r="D116" s="456"/>
      <c r="E116" s="456"/>
      <c r="F116" s="190"/>
      <c r="G116" s="152"/>
    </row>
    <row r="117" spans="1:7" ht="24.75" customHeight="1">
      <c r="A117" s="10"/>
      <c r="B117" s="434" t="str">
        <f>'สอนภาค1 '!$B$3</f>
        <v>อ. </v>
      </c>
      <c r="C117" s="434"/>
      <c r="D117" s="433" t="s">
        <v>131</v>
      </c>
      <c r="E117" s="63"/>
      <c r="F117" s="191"/>
      <c r="G117" s="10"/>
    </row>
    <row r="118" spans="2:6" ht="24.75" customHeight="1">
      <c r="B118" s="1" t="s">
        <v>382</v>
      </c>
      <c r="F118" s="192"/>
    </row>
    <row r="119" spans="2:6" ht="24.75" customHeight="1">
      <c r="B119" s="483" t="s">
        <v>218</v>
      </c>
      <c r="C119" s="483"/>
      <c r="D119" s="484" t="str">
        <f>'สอนภาค1 '!$F$3</f>
        <v>การพยาบาล</v>
      </c>
      <c r="F119" s="193"/>
    </row>
    <row r="120" spans="2:6" ht="24.75" customHeight="1">
      <c r="B120" s="149"/>
      <c r="C120" s="149"/>
      <c r="F120" s="193"/>
    </row>
    <row r="121" ht="18.75">
      <c r="F121" s="193"/>
    </row>
    <row r="122" ht="18.75">
      <c r="F122" s="193"/>
    </row>
    <row r="123" ht="18.75">
      <c r="F123" s="193"/>
    </row>
    <row r="124" ht="18.75">
      <c r="F124" s="193"/>
    </row>
  </sheetData>
  <sheetProtection password="CC19" sheet="1" formatCells="0" formatColumns="0" formatRows="0"/>
  <printOptions/>
  <pageMargins left="0.354330708661417" right="0.354330708661417" top="0.196850393700787" bottom="0" header="0.118110236220472" footer="0.118110236220472"/>
  <pageSetup horizontalDpi="600" verticalDpi="600" orientation="portrait" paperSize="9" r:id="rId3"/>
  <headerFooter alignWithMargins="0">
    <oddFooter>&amp;C&amp;12 5</oddFooter>
  </headerFooter>
  <rowBreaks count="1" manualBreakCount="1">
    <brk id="45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0">
      <selection activeCell="E19" sqref="E19"/>
    </sheetView>
  </sheetViews>
  <sheetFormatPr defaultColWidth="9.140625" defaultRowHeight="21.75"/>
  <cols>
    <col min="1" max="1" width="13.57421875" style="507" customWidth="1"/>
    <col min="2" max="2" width="8.28125" style="507" customWidth="1"/>
    <col min="3" max="3" width="11.140625" style="507" customWidth="1"/>
    <col min="4" max="4" width="8.00390625" style="507" customWidth="1"/>
    <col min="5" max="5" width="10.421875" style="507" customWidth="1"/>
    <col min="6" max="6" width="9.28125" style="507" customWidth="1"/>
    <col min="7" max="7" width="10.8515625" style="507" customWidth="1"/>
    <col min="8" max="8" width="9.28125" style="507" customWidth="1"/>
    <col min="9" max="9" width="8.57421875" style="507" customWidth="1"/>
    <col min="10" max="10" width="8.00390625" style="507" customWidth="1"/>
    <col min="11" max="11" width="8.28125" style="0" customWidth="1"/>
  </cols>
  <sheetData>
    <row r="1" spans="1:10" ht="24" customHeight="1">
      <c r="A1" s="821"/>
      <c r="B1" s="1061" t="s">
        <v>407</v>
      </c>
      <c r="C1" s="1061"/>
      <c r="D1" s="1061"/>
      <c r="E1" s="1061"/>
      <c r="F1" s="1061"/>
      <c r="G1" s="1061"/>
      <c r="H1" s="1061"/>
      <c r="I1" s="821"/>
      <c r="J1" s="821" t="s">
        <v>398</v>
      </c>
    </row>
    <row r="2" spans="1:10" ht="24" customHeight="1">
      <c r="A2" s="821"/>
      <c r="B2" s="1061" t="s">
        <v>327</v>
      </c>
      <c r="C2" s="1061"/>
      <c r="D2" s="1061"/>
      <c r="E2" s="1061"/>
      <c r="F2" s="1061"/>
      <c r="G2" s="1061"/>
      <c r="H2" s="1061"/>
      <c r="I2" s="821"/>
      <c r="J2" s="821"/>
    </row>
    <row r="3" spans="1:10" ht="24" customHeight="1">
      <c r="A3" s="1064" t="s">
        <v>405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0" ht="24" customHeight="1">
      <c r="A4" s="893" t="s">
        <v>384</v>
      </c>
      <c r="B4" s="956" t="str">
        <f>'สอนภาค1 '!$B$3</f>
        <v>อ. </v>
      </c>
      <c r="C4" s="785"/>
      <c r="D4" s="785"/>
      <c r="E4" s="785"/>
      <c r="F4" s="801"/>
      <c r="G4" s="893" t="s">
        <v>171</v>
      </c>
      <c r="H4" s="956" t="str">
        <f>'สอนภาค1 '!$F$3</f>
        <v>การพยาบาล</v>
      </c>
      <c r="I4" s="785"/>
      <c r="J4" s="785"/>
    </row>
    <row r="5" spans="1:11" ht="24" customHeight="1">
      <c r="A5" s="919" t="s">
        <v>329</v>
      </c>
      <c r="B5" s="919"/>
      <c r="C5" s="919"/>
      <c r="D5" s="919"/>
      <c r="E5" s="919"/>
      <c r="F5" s="919"/>
      <c r="G5" s="919"/>
      <c r="H5" s="919"/>
      <c r="I5" s="919"/>
      <c r="J5" s="919"/>
      <c r="K5" s="919"/>
    </row>
    <row r="6" spans="1:11" ht="24" customHeight="1">
      <c r="A6" s="930"/>
      <c r="B6" s="1067" t="s">
        <v>324</v>
      </c>
      <c r="C6" s="1068"/>
      <c r="D6" s="1069"/>
      <c r="E6" s="940" t="s">
        <v>325</v>
      </c>
      <c r="F6" s="941"/>
      <c r="G6" s="941"/>
      <c r="H6" s="942" t="s">
        <v>326</v>
      </c>
      <c r="I6" s="943"/>
      <c r="J6" s="943"/>
      <c r="K6" s="944" t="s">
        <v>219</v>
      </c>
    </row>
    <row r="7" spans="1:11" ht="24" customHeight="1">
      <c r="A7" s="931"/>
      <c r="B7" s="945" t="s">
        <v>195</v>
      </c>
      <c r="C7" s="946" t="s">
        <v>196</v>
      </c>
      <c r="D7" s="947" t="s">
        <v>197</v>
      </c>
      <c r="E7" s="945" t="s">
        <v>195</v>
      </c>
      <c r="F7" s="946" t="s">
        <v>196</v>
      </c>
      <c r="G7" s="947" t="s">
        <v>197</v>
      </c>
      <c r="H7" s="945" t="s">
        <v>195</v>
      </c>
      <c r="I7" s="946" t="s">
        <v>196</v>
      </c>
      <c r="J7" s="947" t="s">
        <v>197</v>
      </c>
      <c r="K7" s="948" t="s">
        <v>7</v>
      </c>
    </row>
    <row r="8" spans="1:11" ht="22.5" customHeight="1">
      <c r="A8" s="949" t="s">
        <v>372</v>
      </c>
      <c r="B8" s="920">
        <f>'สอนภาค1 '!$C$72</f>
        <v>0</v>
      </c>
      <c r="C8" s="921">
        <f>'สอนภาค1 '!$D$72</f>
        <v>0</v>
      </c>
      <c r="D8" s="922">
        <f>'สอนภาค1 '!$E$72</f>
        <v>0</v>
      </c>
      <c r="E8" s="923">
        <f>'สอนภาค1 '!$C$108</f>
        <v>0</v>
      </c>
      <c r="F8" s="924">
        <f>'สอนภาค1 '!$D$108</f>
        <v>0</v>
      </c>
      <c r="G8" s="925">
        <f>'สอนภาค1 '!$E$108</f>
        <v>0</v>
      </c>
      <c r="H8" s="926">
        <f>'สอนภาค1 '!$C$132</f>
        <v>0</v>
      </c>
      <c r="I8" s="927">
        <f>'สอนภาค1 '!$D$132</f>
        <v>0</v>
      </c>
      <c r="J8" s="928">
        <f>'สอนภาค1 '!$E$132</f>
        <v>0</v>
      </c>
      <c r="K8" s="929">
        <f>SUM(B8:J8)</f>
        <v>0</v>
      </c>
    </row>
    <row r="9" spans="1:11" ht="22.5" customHeight="1">
      <c r="A9" s="950" t="s">
        <v>373</v>
      </c>
      <c r="B9" s="909">
        <f>'สอนภาค2 p4-6'!$C$72</f>
        <v>0</v>
      </c>
      <c r="C9" s="911">
        <f>'สอนภาค2 p4-6'!$D$72</f>
        <v>0</v>
      </c>
      <c r="D9" s="910">
        <f>'สอนภาค2 p4-6'!$E$72</f>
        <v>0</v>
      </c>
      <c r="E9" s="912">
        <f>'สอนภาค2 p4-6'!$C$108</f>
        <v>0</v>
      </c>
      <c r="F9" s="914">
        <f>'สอนภาค2 p4-6'!$D$108</f>
        <v>0</v>
      </c>
      <c r="G9" s="913">
        <f>'สอนภาค2 p4-6'!$E$108</f>
        <v>0</v>
      </c>
      <c r="H9" s="915">
        <f>'สอนภาค2 p4-6'!$C$136</f>
        <v>0</v>
      </c>
      <c r="I9" s="916">
        <f>'สอนภาค2 p4-6'!$D$136</f>
        <v>0</v>
      </c>
      <c r="J9" s="917">
        <f>'สอนภาค2 p4-6'!$E$136</f>
        <v>0</v>
      </c>
      <c r="K9" s="918">
        <f>SUM(B9:J9)</f>
        <v>0</v>
      </c>
    </row>
    <row r="10" spans="1:11" ht="27" customHeight="1">
      <c r="A10" s="932" t="s">
        <v>385</v>
      </c>
      <c r="B10" s="933">
        <f aca="true" t="shared" si="0" ref="B10:K10">B8+B9</f>
        <v>0</v>
      </c>
      <c r="C10" s="934">
        <f t="shared" si="0"/>
        <v>0</v>
      </c>
      <c r="D10" s="935">
        <f t="shared" si="0"/>
        <v>0</v>
      </c>
      <c r="E10" s="936">
        <f t="shared" si="0"/>
        <v>0</v>
      </c>
      <c r="F10" s="937">
        <f t="shared" si="0"/>
        <v>0</v>
      </c>
      <c r="G10" s="938">
        <f t="shared" si="0"/>
        <v>0</v>
      </c>
      <c r="H10" s="936">
        <f t="shared" si="0"/>
        <v>0</v>
      </c>
      <c r="I10" s="937">
        <f t="shared" si="0"/>
        <v>0</v>
      </c>
      <c r="J10" s="939">
        <f t="shared" si="0"/>
        <v>0</v>
      </c>
      <c r="K10" s="951">
        <f t="shared" si="0"/>
        <v>0</v>
      </c>
    </row>
    <row r="11" spans="1:11" ht="27" customHeight="1">
      <c r="A11" s="932" t="s">
        <v>386</v>
      </c>
      <c r="B11" s="933">
        <f>B10/2</f>
        <v>0</v>
      </c>
      <c r="C11" s="933">
        <f aca="true" t="shared" si="1" ref="C11:J11">C10/2</f>
        <v>0</v>
      </c>
      <c r="D11" s="933">
        <f t="shared" si="1"/>
        <v>0</v>
      </c>
      <c r="E11" s="962">
        <f t="shared" si="1"/>
        <v>0</v>
      </c>
      <c r="F11" s="962">
        <f t="shared" si="1"/>
        <v>0</v>
      </c>
      <c r="G11" s="962">
        <f t="shared" si="1"/>
        <v>0</v>
      </c>
      <c r="H11" s="962">
        <f t="shared" si="1"/>
        <v>0</v>
      </c>
      <c r="I11" s="962">
        <f t="shared" si="1"/>
        <v>0</v>
      </c>
      <c r="J11" s="962">
        <f t="shared" si="1"/>
        <v>0</v>
      </c>
      <c r="K11" s="951">
        <f>K10/2</f>
        <v>0</v>
      </c>
    </row>
    <row r="12" spans="1:11" ht="8.25" customHeight="1">
      <c r="A12" s="957"/>
      <c r="B12" s="958"/>
      <c r="C12" s="958"/>
      <c r="D12" s="958"/>
      <c r="E12" s="959"/>
      <c r="F12" s="958"/>
      <c r="G12" s="958"/>
      <c r="H12" s="960"/>
      <c r="I12" s="958"/>
      <c r="J12" s="958"/>
      <c r="K12" s="961"/>
    </row>
    <row r="13" spans="1:11" s="784" customFormat="1" ht="24" customHeight="1">
      <c r="A13" s="799"/>
      <c r="B13" s="791"/>
      <c r="C13" s="792"/>
      <c r="D13" s="792"/>
      <c r="E13" s="976" t="s">
        <v>332</v>
      </c>
      <c r="F13" s="977" t="s">
        <v>333</v>
      </c>
      <c r="G13" s="978" t="s">
        <v>333</v>
      </c>
      <c r="H13" s="979" t="s">
        <v>333</v>
      </c>
      <c r="I13" s="1065" t="s">
        <v>334</v>
      </c>
      <c r="J13" s="1066"/>
      <c r="K13" s="803"/>
    </row>
    <row r="14" spans="1:11" s="784" customFormat="1" ht="24" customHeight="1" thickBot="1">
      <c r="A14" s="1060" t="s">
        <v>330</v>
      </c>
      <c r="B14" s="1060"/>
      <c r="C14" s="1060"/>
      <c r="D14" s="795"/>
      <c r="E14" s="793" t="s">
        <v>331</v>
      </c>
      <c r="F14" s="800" t="s">
        <v>336</v>
      </c>
      <c r="G14" s="811" t="s">
        <v>336</v>
      </c>
      <c r="H14" s="807" t="s">
        <v>336</v>
      </c>
      <c r="I14" s="1062" t="s">
        <v>335</v>
      </c>
      <c r="J14" s="1063"/>
      <c r="K14" s="803"/>
    </row>
    <row r="15" spans="1:11" s="784" customFormat="1" ht="24" customHeight="1" thickBot="1" thickTop="1">
      <c r="A15" s="789"/>
      <c r="B15" s="789"/>
      <c r="C15" s="789" t="s">
        <v>343</v>
      </c>
      <c r="D15" s="952">
        <v>1</v>
      </c>
      <c r="E15" s="806" t="s">
        <v>341</v>
      </c>
      <c r="F15" s="800" t="s">
        <v>344</v>
      </c>
      <c r="G15" s="812" t="s">
        <v>345</v>
      </c>
      <c r="H15" s="808" t="s">
        <v>346</v>
      </c>
      <c r="I15" s="794" t="s">
        <v>341</v>
      </c>
      <c r="J15" s="805">
        <v>1</v>
      </c>
      <c r="K15" s="804"/>
    </row>
    <row r="16" spans="1:11" s="784" customFormat="1" ht="24" customHeight="1" thickTop="1">
      <c r="A16" s="787" t="s">
        <v>328</v>
      </c>
      <c r="B16" s="783"/>
      <c r="C16" s="783"/>
      <c r="D16" s="783"/>
      <c r="E16" s="954">
        <v>0</v>
      </c>
      <c r="F16" s="797">
        <v>50</v>
      </c>
      <c r="G16" s="813">
        <v>40</v>
      </c>
      <c r="H16" s="809">
        <v>40</v>
      </c>
      <c r="I16" s="815">
        <f aca="true" t="shared" si="2" ref="I16:I21">IF($D$15=1,E16*F16/100,IF($D$15=2,E16*G16/100,IF($D$15=3,E16*H16/100,0)))</f>
        <v>0</v>
      </c>
      <c r="J16" s="819">
        <f aca="true" t="shared" si="3" ref="J16:J22">I16*20</f>
        <v>0</v>
      </c>
      <c r="K16" s="803"/>
    </row>
    <row r="17" spans="1:11" s="784" customFormat="1" ht="24" customHeight="1">
      <c r="A17" s="787" t="s">
        <v>337</v>
      </c>
      <c r="B17" s="783"/>
      <c r="C17" s="783"/>
      <c r="D17" s="783"/>
      <c r="E17" s="954">
        <v>0</v>
      </c>
      <c r="F17" s="797">
        <v>30</v>
      </c>
      <c r="G17" s="813">
        <v>30</v>
      </c>
      <c r="H17" s="809">
        <v>0</v>
      </c>
      <c r="I17" s="816">
        <f t="shared" si="2"/>
        <v>0</v>
      </c>
      <c r="J17" s="819">
        <f t="shared" si="3"/>
        <v>0</v>
      </c>
      <c r="K17" s="803"/>
    </row>
    <row r="18" spans="1:11" s="784" customFormat="1" ht="24" customHeight="1">
      <c r="A18" s="787" t="s">
        <v>338</v>
      </c>
      <c r="B18" s="783"/>
      <c r="C18" s="783"/>
      <c r="D18" s="783"/>
      <c r="E18" s="954">
        <v>0</v>
      </c>
      <c r="F18" s="797">
        <v>10</v>
      </c>
      <c r="G18" s="813">
        <v>10</v>
      </c>
      <c r="H18" s="809">
        <v>0</v>
      </c>
      <c r="I18" s="816">
        <f t="shared" si="2"/>
        <v>0</v>
      </c>
      <c r="J18" s="819">
        <f t="shared" si="3"/>
        <v>0</v>
      </c>
      <c r="K18" s="803"/>
    </row>
    <row r="19" spans="1:11" s="784" customFormat="1" ht="24">
      <c r="A19" s="787" t="s">
        <v>339</v>
      </c>
      <c r="B19" s="783"/>
      <c r="C19" s="783"/>
      <c r="D19" s="783"/>
      <c r="E19" s="954">
        <v>0</v>
      </c>
      <c r="F19" s="797">
        <v>3</v>
      </c>
      <c r="G19" s="813">
        <v>3</v>
      </c>
      <c r="H19" s="809">
        <v>0</v>
      </c>
      <c r="I19" s="816">
        <f t="shared" si="2"/>
        <v>0</v>
      </c>
      <c r="J19" s="819">
        <f t="shared" si="3"/>
        <v>0</v>
      </c>
      <c r="K19" s="803"/>
    </row>
    <row r="20" spans="1:11" s="784" customFormat="1" ht="24">
      <c r="A20" s="802" t="s">
        <v>340</v>
      </c>
      <c r="B20" s="795"/>
      <c r="C20" s="795"/>
      <c r="D20" s="795"/>
      <c r="E20" s="954">
        <v>0</v>
      </c>
      <c r="F20" s="797">
        <v>7</v>
      </c>
      <c r="G20" s="813">
        <v>7</v>
      </c>
      <c r="H20" s="809">
        <v>10</v>
      </c>
      <c r="I20" s="816">
        <f t="shared" si="2"/>
        <v>0</v>
      </c>
      <c r="J20" s="819">
        <f t="shared" si="3"/>
        <v>0</v>
      </c>
      <c r="K20" s="803"/>
    </row>
    <row r="21" spans="1:11" s="784" customFormat="1" ht="24">
      <c r="A21" s="788" t="s">
        <v>342</v>
      </c>
      <c r="B21" s="789"/>
      <c r="C21" s="789"/>
      <c r="D21" s="789"/>
      <c r="E21" s="955">
        <v>0</v>
      </c>
      <c r="F21" s="796">
        <v>0</v>
      </c>
      <c r="G21" s="813">
        <v>10</v>
      </c>
      <c r="H21" s="809">
        <v>50</v>
      </c>
      <c r="I21" s="817">
        <f t="shared" si="2"/>
        <v>0</v>
      </c>
      <c r="J21" s="819">
        <f t="shared" si="3"/>
        <v>0</v>
      </c>
      <c r="K21" s="804"/>
    </row>
    <row r="22" spans="1:11" s="784" customFormat="1" ht="24">
      <c r="A22" s="786" t="s">
        <v>3</v>
      </c>
      <c r="B22" s="790"/>
      <c r="C22" s="790"/>
      <c r="D22" s="790"/>
      <c r="E22" s="794"/>
      <c r="F22" s="798">
        <f>SUM(F16:F21)</f>
        <v>100</v>
      </c>
      <c r="G22" s="814">
        <f>SUM(G16:G21)</f>
        <v>100</v>
      </c>
      <c r="H22" s="810">
        <f>SUM(H16:H21)</f>
        <v>100</v>
      </c>
      <c r="I22" s="818">
        <f>SUM(I16:I21)</f>
        <v>0</v>
      </c>
      <c r="J22" s="820">
        <f t="shared" si="3"/>
        <v>0</v>
      </c>
      <c r="K22" s="804"/>
    </row>
    <row r="23" spans="1:10" ht="21.75">
      <c r="A23" s="508"/>
      <c r="B23" s="508"/>
      <c r="C23" s="508"/>
      <c r="D23" s="508"/>
      <c r="E23" s="508"/>
      <c r="F23" s="508"/>
      <c r="G23" s="508"/>
      <c r="H23" s="508"/>
      <c r="I23" s="508"/>
      <c r="J23" s="508"/>
    </row>
    <row r="24" spans="1:10" ht="21.75">
      <c r="A24" s="840" t="s">
        <v>352</v>
      </c>
      <c r="B24" s="953" t="s">
        <v>383</v>
      </c>
      <c r="C24" s="508"/>
      <c r="D24" s="508"/>
      <c r="E24" s="508"/>
      <c r="F24" s="508"/>
      <c r="G24" s="508"/>
      <c r="H24" s="508"/>
      <c r="I24" s="508"/>
      <c r="J24" s="508"/>
    </row>
    <row r="25" spans="1:10" ht="21.75">
      <c r="A25" s="508" t="s">
        <v>353</v>
      </c>
      <c r="B25" s="508">
        <v>1</v>
      </c>
      <c r="C25" s="841" t="s">
        <v>354</v>
      </c>
      <c r="D25" s="508"/>
      <c r="E25" s="508"/>
      <c r="F25" s="508"/>
      <c r="G25" s="508"/>
      <c r="H25" s="508"/>
      <c r="I25" s="508"/>
      <c r="J25" s="508"/>
    </row>
    <row r="26" spans="1:3" ht="21.75">
      <c r="A26" s="507" t="s">
        <v>353</v>
      </c>
      <c r="B26" s="843">
        <v>2</v>
      </c>
      <c r="C26" s="842" t="s">
        <v>355</v>
      </c>
    </row>
    <row r="27" spans="1:3" ht="21.75">
      <c r="A27" s="507" t="s">
        <v>353</v>
      </c>
      <c r="B27" s="844">
        <v>3</v>
      </c>
      <c r="C27" s="842" t="s">
        <v>356</v>
      </c>
    </row>
  </sheetData>
  <sheetProtection password="CC19" sheet="1" formatCells="0" formatColumns="0"/>
  <mergeCells count="7">
    <mergeCell ref="A14:C14"/>
    <mergeCell ref="B1:H1"/>
    <mergeCell ref="B2:H2"/>
    <mergeCell ref="I14:J14"/>
    <mergeCell ref="A3:J3"/>
    <mergeCell ref="I13:J13"/>
    <mergeCell ref="B6:D6"/>
  </mergeCells>
  <printOptions/>
  <pageMargins left="0.31496062992126" right="0.06496063" top="0.196850394" bottom="0.15748031496063" header="0.118110236220472" footer="0.3149606299212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Admin</cp:lastModifiedBy>
  <cp:lastPrinted>2018-02-12T08:09:15Z</cp:lastPrinted>
  <dcterms:created xsi:type="dcterms:W3CDTF">2002-08-12T07:13:18Z</dcterms:created>
  <dcterms:modified xsi:type="dcterms:W3CDTF">2018-08-21T14:18:21Z</dcterms:modified>
  <cp:category/>
  <cp:version/>
  <cp:contentType/>
  <cp:contentStatus/>
</cp:coreProperties>
</file>