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1720" windowHeight="5850" activeTab="3"/>
  </bookViews>
  <sheets>
    <sheet name="สอน p1-3" sheetId="1" r:id="rId1"/>
    <sheet name=" Thesis p 4" sheetId="2" r:id="rId2"/>
    <sheet name="วิจัย 2.1-1.4 p 5-6" sheetId="3" r:id="rId3"/>
    <sheet name="อื่น ๆ P7-9 สรุป" sheetId="4" r:id="rId4"/>
    <sheet name="ผลสัมฤทธ์" sheetId="5" r:id="rId5"/>
    <sheet name="Sheet1" sheetId="6" r:id="rId6"/>
  </sheets>
  <definedNames>
    <definedName name="_xlnm.Print_Area" localSheetId="1">' Thesis p 4'!$A$1:$F$42</definedName>
    <definedName name="_xlnm.Print_Area" localSheetId="4">'ผลสัมฤทธ์'!$A$1:$K$25</definedName>
    <definedName name="_xlnm.Print_Area" localSheetId="2">'วิจัย 2.1-1.4 p 5-6'!$A$1:$L$54</definedName>
    <definedName name="_xlnm.Print_Area" localSheetId="0">'สอน p1-3'!$A$1:$I$138</definedName>
    <definedName name="_xlnm.Print_Area" localSheetId="3">'อื่น ๆ P7-9 สรุป'!$A$1:$G$129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</authors>
  <commentList>
    <comment ref="D103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3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0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0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86" authorId="2">
      <text>
        <r>
          <rPr>
            <sz val="8"/>
            <rFont val="Tahoma"/>
            <family val="2"/>
          </rPr>
          <t>จำนวนนิสิต</t>
        </r>
      </text>
    </comment>
    <comment ref="D86" authorId="2">
      <text>
        <r>
          <rPr>
            <sz val="8"/>
            <rFont val="Tahoma"/>
            <family val="2"/>
          </rPr>
          <t>ชั่วโมง lab</t>
        </r>
      </text>
    </comment>
    <comment ref="C90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6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1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86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3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3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3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2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4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4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Surasak</author>
    <author>Admin</author>
  </authors>
  <commentList>
    <comment ref="F4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5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8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4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21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4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  <author>Admin</author>
    <author>Suwanna</author>
  </authors>
  <commentList>
    <comment ref="D39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51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6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8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5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3" authorId="1">
      <text>
        <r>
          <rPr>
            <sz val="8"/>
            <rFont val="Tahoma"/>
            <family val="2"/>
          </rPr>
          <t>ระบจำนวนชุด</t>
        </r>
      </text>
    </comment>
    <comment ref="D53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72" authorId="1">
      <text>
        <r>
          <rPr>
            <sz val="10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  <comment ref="D32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70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3" authorId="0">
      <text>
        <r>
          <rPr>
            <b/>
            <sz val="10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<sst xmlns="http://schemas.openxmlformats.org/spreadsheetml/2006/main" count="621" uniqueCount="437">
  <si>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</si>
  <si>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</si>
  <si>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</si>
  <si>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</si>
  <si>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</si>
  <si>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</si>
  <si>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</si>
  <si>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</si>
  <si>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</si>
  <si>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</si>
  <si>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</si>
  <si>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</si>
  <si>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</si>
  <si>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</si>
  <si>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</si>
  <si>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</si>
  <si>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</si>
  <si>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</si>
  <si>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</si>
  <si>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</si>
  <si>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</si>
  <si>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</si>
  <si>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</si>
  <si>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</si>
  <si>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</si>
  <si>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</si>
  <si>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t>รวม  3 งานวิชาการ</t>
  </si>
  <si>
    <t>รวม   5. งานโครงการพิเศษ</t>
  </si>
  <si>
    <t xml:space="preserve"> รวม 6 งานบริหาร</t>
  </si>
  <si>
    <t>รวม 7. งานกิจการนิสิต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</si>
  <si>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</si>
  <si>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รวม  8. งานทำนุบำรุงศิลป ฯ</t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</si>
  <si>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</si>
  <si>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</si>
  <si>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</si>
  <si>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</si>
  <si>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</si>
  <si>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</si>
  <si>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</si>
  <si>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</si>
  <si>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</si>
  <si>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</si>
  <si>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</si>
  <si>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</si>
  <si>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</si>
  <si>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</si>
  <si>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</si>
  <si>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</si>
  <si>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</si>
  <si>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</si>
  <si>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</si>
  <si>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</si>
  <si>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</si>
  <si>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</si>
  <si>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</si>
  <si>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</si>
  <si>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</si>
  <si>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</si>
  <si>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</si>
  <si>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</si>
  <si>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</si>
  <si>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</si>
  <si>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</si>
  <si>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</si>
  <si>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</si>
  <si>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</si>
  <si>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</si>
  <si>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</si>
  <si>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</si>
  <si>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</si>
  <si>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</si>
  <si>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</si>
  <si>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</si>
  <si>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</si>
  <si>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</si>
  <si>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</si>
  <si>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</si>
  <si>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</si>
  <si>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</si>
  <si>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</si>
  <si>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</si>
  <si>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</si>
  <si>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</si>
  <si>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</si>
  <si>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</si>
  <si>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</si>
  <si>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</si>
  <si>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</si>
  <si>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</si>
  <si>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</si>
  <si>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เอกชน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</si>
  <si>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</si>
  <si>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</si>
  <si>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</si>
  <si>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</si>
  <si>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</si>
  <si>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</si>
  <si>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</si>
  <si>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</si>
  <si>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</si>
  <si>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</si>
  <si>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</si>
  <si>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</si>
  <si>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</si>
  <si>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</si>
  <si>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</si>
  <si>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</si>
  <si>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</si>
  <si>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</si>
  <si>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</si>
  <si>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</si>
  <si>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</si>
  <si>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</si>
  <si>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</si>
  <si>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</si>
  <si>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</si>
  <si>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</si>
  <si>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</si>
  <si>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</si>
  <si>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</si>
  <si>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</si>
  <si>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รวมการเผยแพร่วิจัย</t>
  </si>
  <si>
    <t>รวมการเผยแพร่วิทยานิพนธ์นิสิต</t>
  </si>
  <si>
    <t>/ Co-</t>
  </si>
  <si>
    <t xml:space="preserve">   หมายเหตุ</t>
  </si>
  <si>
    <t xml:space="preserve"> 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</si>
  <si>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</si>
  <si>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</si>
  <si>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</si>
  <si>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</si>
  <si>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</si>
  <si>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</si>
  <si>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</si>
  <si>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</si>
  <si>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</si>
  <si>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</si>
  <si>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</si>
  <si>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</si>
  <si>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</si>
  <si>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</si>
  <si>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</si>
  <si>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</si>
  <si>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</si>
  <si>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</si>
  <si>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</si>
  <si>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</si>
  <si>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</si>
  <si>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</si>
  <si>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</si>
  <si>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</si>
  <si>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</si>
  <si>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</si>
  <si>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</si>
  <si>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</si>
  <si>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</si>
  <si>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</si>
  <si>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</si>
  <si>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</si>
  <si>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</si>
  <si>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</si>
  <si>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</si>
  <si>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</si>
  <si>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</si>
  <si>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</si>
  <si>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</si>
  <si>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</si>
  <si>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</si>
  <si>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</si>
  <si>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</si>
  <si>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</si>
  <si>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</si>
  <si>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</si>
  <si>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</si>
  <si>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</si>
  <si>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</si>
  <si>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</si>
  <si>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</si>
  <si>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</si>
  <si>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</si>
  <si>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t xml:space="preserve">ภาคปกติ จุดคุ้มทุนpath wayละ 2 คน 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</si>
  <si>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</si>
  <si>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</si>
  <si>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</si>
  <si>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</si>
  <si>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</si>
  <si>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</si>
  <si>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</si>
  <si>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</si>
  <si>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</si>
  <si>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</si>
  <si>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ทบ</t>
  </si>
  <si>
    <t>lab</t>
  </si>
  <si>
    <t>prac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</si>
  <si>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</si>
  <si>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</si>
  <si>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</si>
  <si>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</si>
  <si>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</si>
  <si>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t>จุดคุ้มทุน 15 คน ตามมหาวิทยาลัยคำนวณ</t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</si>
  <si>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</si>
  <si>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</si>
  <si>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</si>
  <si>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</si>
  <si>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</si>
  <si>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</si>
  <si>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</si>
  <si>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</si>
  <si>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</si>
  <si>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</si>
  <si>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</si>
  <si>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</si>
  <si>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</si>
  <si>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</si>
  <si>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</si>
  <si>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รวม U</t>
  </si>
  <si>
    <t>..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</si>
  <si>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</si>
  <si>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</si>
  <si>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</si>
  <si>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</si>
  <si>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</si>
  <si>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</si>
  <si>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</si>
  <si>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</si>
  <si>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</si>
  <si>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</si>
  <si>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</si>
  <si>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</si>
  <si>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</si>
  <si>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</si>
  <si>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</si>
  <si>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</si>
  <si>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</si>
  <si>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</si>
  <si>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</si>
  <si>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r>
      <t xml:space="preserve">     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</t>
    </r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</si>
  <si>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</si>
  <si>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</si>
  <si>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</si>
  <si>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</si>
  <si>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</si>
  <si>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</si>
  <si>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</si>
  <si>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</si>
  <si>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</si>
  <si>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</si>
  <si>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</si>
  <si>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</si>
  <si>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</si>
  <si>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</si>
  <si>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</si>
  <si>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</si>
  <si>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</si>
  <si>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</si>
  <si>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</si>
  <si>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</si>
  <si>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</si>
  <si>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</si>
  <si>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</si>
  <si>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</si>
  <si>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</si>
  <si>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</si>
  <si>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</si>
  <si>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</si>
  <si>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</si>
  <si>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</si>
  <si>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</si>
  <si>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r>
      <t xml:space="preserve">หมายเหตุ </t>
    </r>
    <r>
      <rPr>
        <sz val="11"/>
        <color indexed="10"/>
        <rFont val="Cordia New"/>
        <family val="2"/>
      </rPr>
      <t># หน้า 8 จาก 10</t>
    </r>
  </si>
  <si>
    <r>
      <t xml:space="preserve">หมายเหตุ </t>
    </r>
    <r>
      <rPr>
        <b/>
        <sz val="11"/>
        <color indexed="10"/>
        <rFont val="Cordia New"/>
        <family val="2"/>
      </rPr>
      <t>#หน้า7จาก10</t>
    </r>
  </si>
  <si>
    <t>#หน้า 5 จาก  10</t>
  </si>
  <si>
    <t>#หน้าที่ 6  จาก 10</t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</si>
  <si>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4 ใน 10</t>
    </r>
  </si>
  <si>
    <t>หมายเหตุ        # หน้า 2 ใน 10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</si>
  <si>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ใน 10</t>
    </r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</si>
  <si>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</si>
  <si>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</si>
  <si>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</si>
  <si>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</si>
  <si>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</si>
  <si>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</si>
  <si>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</si>
  <si>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</si>
  <si>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</si>
  <si>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</si>
  <si>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</si>
  <si>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</si>
  <si>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</si>
  <si>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</si>
  <si>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</si>
  <si>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</si>
  <si>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</si>
  <si>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</si>
  <si>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</si>
  <si>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</si>
  <si>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</si>
  <si>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</si>
  <si>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</si>
  <si>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</si>
  <si>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</si>
  <si>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</si>
  <si>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</si>
  <si>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</si>
  <si>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</si>
  <si>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</si>
  <si>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</si>
  <si>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 xml:space="preserve">       แบบกรอกปริมาณงานข้าราชการ ประเภทวิชาการ คณะพยาบาลศาสตร์  ม.บูรพา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</si>
  <si>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</si>
  <si>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</si>
  <si>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เฉลี่ยต่อภาคการศึกษา  =</t>
  </si>
  <si>
    <t>รวมการดำเนินงานวิจัยและแหล่งทุน (2.1-2.4)</t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</si>
  <si>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กรกฎาคม 2560 - 31 ธันวาคม 2560)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</si>
  <si>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t>เฉพาะโครงการที่อยู่</t>
  </si>
  <si>
    <t>ช่วงเวลาตามสัญญาวิจัย</t>
  </si>
  <si>
    <r>
      <t xml:space="preserve">ในรอบการประเมิน </t>
    </r>
    <r>
      <rPr>
        <sz val="12"/>
        <color indexed="10"/>
        <rFont val="Cordia New"/>
        <family val="2"/>
      </rPr>
      <t>1 กค - 31 ธค</t>
    </r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</si>
  <si>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</si>
  <si>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และนำยอดนี้ไปคิดในรอบที่สอง</t>
  </si>
  <si>
    <t>เฉลี่ยรอบประเมินนี้ =</t>
  </si>
  <si>
    <t>หรือหนังสือตอบรับในปีที่ประเมิน</t>
  </si>
  <si>
    <t>รวมผลงานวิจัยทั้งสิ้นในรอบนี้</t>
  </si>
  <si>
    <t>และนำไปคิดในรอบที่สอง</t>
  </si>
  <si>
    <t>รวม 4 บริการวิชาการ (รวมไม่เกิน 6 หน่วยต่อภาคเรียน)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</si>
  <si>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</si>
  <si>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r>
      <rPr>
        <b/>
        <sz val="12"/>
        <color indexed="10"/>
        <rFont val="Cordia New"/>
        <family val="2"/>
      </rPr>
      <t>ไม่ต้อง</t>
    </r>
    <r>
      <rPr>
        <sz val="12"/>
        <color indexed="60"/>
        <rFont val="Cordia New"/>
        <family val="2"/>
      </rPr>
      <t>นำไปรวมรอบที่ 2</t>
    </r>
  </si>
  <si>
    <t>รวมภาระงาน</t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</si>
  <si>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</si>
  <si>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</si>
  <si>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รวม U ป.ตรี</t>
  </si>
  <si>
    <t>รวม U  ที่สอนบัณฑิต</t>
  </si>
  <si>
    <t>รวม U  ที่สอนบัณฑิต Inter</t>
  </si>
  <si>
    <t xml:space="preserve">       คณะพยาบาลศาสตร์  มหาวิทยาลัยบูุรพา</t>
  </si>
  <si>
    <t>1. งานสอน</t>
  </si>
  <si>
    <t>คะแนนที่ได้</t>
  </si>
  <si>
    <t>(5)</t>
  </si>
  <si>
    <t>(6)</t>
  </si>
  <si>
    <t>(7)</t>
  </si>
  <si>
    <t>คะแนนถ่วงน้ำหนัก</t>
  </si>
  <si>
    <t>น้ำหนัก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</si>
  <si>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</si>
  <si>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</si>
  <si>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</si>
  <si>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</si>
  <si>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(1-5)</t>
  </si>
  <si>
    <t>อ.</t>
  </si>
  <si>
    <t>การพยาบาล....</t>
  </si>
  <si>
    <t>6. งานบริหาร</t>
  </si>
  <si>
    <t>กลุ่ม  &gt;&gt;&gt;</t>
  </si>
  <si>
    <t>1. อจ</t>
  </si>
  <si>
    <t>2. ประธานฯ</t>
  </si>
  <si>
    <t>3. รอง/ผช</t>
  </si>
  <si>
    <t># หน้า 9 จาก 10</t>
  </si>
  <si>
    <t># หน้า 10 จาก 10</t>
  </si>
  <si>
    <r>
      <t xml:space="preserve">               </t>
    </r>
    <r>
      <rPr>
        <b/>
        <sz val="16"/>
        <rFont val="Cordia New"/>
        <family val="2"/>
      </rPr>
      <t>สรุปรายงานผลการปฎิบัติงานตามมาตรฐานภาระงานวิชาการ</t>
    </r>
  </si>
  <si>
    <t>เฉลี่ยรอบนี้    =</t>
  </si>
  <si>
    <t>เฉลี่ยรอบนี้   =</t>
  </si>
  <si>
    <r>
      <rPr>
        <b/>
        <sz val="12"/>
        <rFont val="Cordia New"/>
        <family val="2"/>
      </rPr>
      <t>งานทำนุบำรุงศิลปฯ</t>
    </r>
    <r>
      <rPr>
        <sz val="12"/>
        <rFont val="Cordia New"/>
        <family val="2"/>
      </rPr>
      <t xml:space="preserve"> (รวมไม่เกิน 6 หน่วย)</t>
    </r>
  </si>
  <si>
    <t>ข้อแนะนำ</t>
  </si>
  <si>
    <t>กลุ่มที่</t>
  </si>
  <si>
    <t>ผู้สอน</t>
  </si>
  <si>
    <t>ประธานสาขาวิชา หรือประธานหลักสูตร</t>
  </si>
  <si>
    <t>รองคณบดี หรือผู้ช่วยคณบดี</t>
  </si>
  <si>
    <t>สรุปงานสอนในรอบที่ 1</t>
  </si>
  <si>
    <t xml:space="preserve">ผลสัมฤทธ์รอบที่ 1 </t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</si>
  <si>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</si>
  <si>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>ต้องระบุข้อมูลกลุ่มก่อน ใน cell D12  ด้วยหมายเลขกลุ่ม แล้วใส่ผลการประเมินตนเองใน Column E</t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</si>
  <si>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</si>
  <si>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 xml:space="preserve">สรุปแยกรายการ </t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</si>
  <si>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( หลักสูตรก่อน พ.ศ. 2560 ;  1 หน่วยกิตคิด 60 ชั่วโมงฝึกงาน)    </t>
    </r>
  </si>
  <si>
    <r>
      <rPr>
        <sz val="12"/>
        <color indexed="10"/>
        <rFont val="Cordia New"/>
        <family val="2"/>
      </rPr>
      <t>3)* ปฏิบัติ</t>
    </r>
    <r>
      <rPr>
        <sz val="12"/>
        <rFont val="Cordia New"/>
        <family val="2"/>
      </rPr>
      <t xml:space="preserve">   </t>
    </r>
    <r>
      <rPr>
        <sz val="12"/>
        <color indexed="10"/>
        <rFont val="Cordia New"/>
        <family val="2"/>
      </rPr>
      <t>วิชา.........</t>
    </r>
  </si>
  <si>
    <t xml:space="preserve">(3) เฉพาะสาขาวิชาสูงอายุฯ (1u=60 hr) </t>
  </si>
  <si>
    <t xml:space="preserve">(4) เฉพาะสาขาวิชาสูงอายุฯ (1u=60 hr) </t>
  </si>
  <si>
    <r>
      <rPr>
        <sz val="12"/>
        <color indexed="10"/>
        <rFont val="Cordia New"/>
        <family val="2"/>
      </rPr>
      <t>4)* ปฏิบัติ</t>
    </r>
    <r>
      <rPr>
        <sz val="12"/>
        <rFont val="Cordia New"/>
        <family val="2"/>
      </rPr>
      <t xml:space="preserve"> </t>
    </r>
    <r>
      <rPr>
        <sz val="12"/>
        <color indexed="10"/>
        <rFont val="Cordia New"/>
        <family val="2"/>
      </rPr>
      <t>วิชา.........</t>
    </r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</si>
  <si>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</si>
  <si>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</si>
  <si>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ชม </t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</si>
  <si>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</si>
  <si>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</si>
  <si>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>4.5.2 เขียนบทความ บทวิทยุ (1 เรื่อง คิด 0.25 หน่วย)</t>
  </si>
  <si>
    <t xml:space="preserve">4.5.3 อ่านบทความวารสาร (1 เรื่อง คิด 0.5 หน่วย)  ระบุ </t>
  </si>
  <si>
    <t>4.5.5 กองบรรณาธิการวารสารวิชาชีพพยาบาล (1 ชุด คิด 0.5 หน่วย) ระบุ..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</si>
  <si>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</si>
  <si>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</si>
  <si>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</si>
  <si>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t>4.6.2.1 ภาระงานมาก: ศูนย์วิจัยและปฏิบัติการฯ หลักสูตรผู้ช่วย อาชีวะ วารสาร อบรมเฉพาะทาง (๔ เดือนขึ้นไป)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</si>
  <si>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</si>
  <si>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</si>
  <si>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</si>
  <si>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2562</t>
    </r>
    <r>
      <rPr>
        <sz val="11"/>
        <rFont val="Cordia New"/>
        <family val="2"/>
      </rPr>
      <t xml:space="preserve">   รอบที่ 1 </t>
    </r>
  </si>
  <si>
    <r>
      <rPr>
        <b/>
        <sz val="12"/>
        <color indexed="10"/>
        <rFont val="Cordia New"/>
        <family val="2"/>
      </rPr>
      <t xml:space="preserve">รอบที่ 1 </t>
    </r>
    <r>
      <rPr>
        <sz val="12"/>
        <color indexed="10"/>
        <rFont val="Cordia New"/>
        <family val="2"/>
      </rPr>
      <t xml:space="preserve">(วันที 1 กค 61 ถึง 31 ธค 61) </t>
    </r>
  </si>
  <si>
    <r>
      <rPr>
        <b/>
        <sz val="12"/>
        <color indexed="62"/>
        <rFont val="Cordia New"/>
        <family val="2"/>
      </rPr>
      <t>(1) การสอนแบบบรรยาย: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</si>
  <si>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>(1) การสอนแบบบรรยาย: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</si>
  <si>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(1) การสอนแบบบรรยาย: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</si>
  <si>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</si>
  <si>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</si>
  <si>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>(3) การสอนแบบปฏิบัติการ ในห้อง lab 1 หน่วยกิต = 7.5hr/wk [ตรียมสอน (2.5), สอน(3) และ ตรวจ(2)] ต่อนิสิต 1 กลุ่ม ( 10 คน)</t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</si>
  <si>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การประเมินตามมติที่ประชุมคณะกรรมการฯประจำคณะฯ   </t>
    </r>
    <r>
      <rPr>
        <sz val="12"/>
        <color indexed="10"/>
        <rFont val="Cordia New"/>
        <family val="2"/>
      </rPr>
      <t xml:space="preserve">วันที่   เดือน    พ.ศ. 2562 </t>
    </r>
  </si>
  <si>
    <r>
      <rPr>
        <b/>
        <u val="single"/>
        <sz val="12"/>
        <color indexed="18"/>
        <rFont val="Cordia New"/>
        <family val="2"/>
      </rPr>
      <t xml:space="preserve">ภาคการศึกษาที่ 1 ปีการศึกษา 2561 </t>
    </r>
    <r>
      <rPr>
        <b/>
        <sz val="12"/>
        <color indexed="18"/>
        <rFont val="Cordia New"/>
        <family val="2"/>
      </rPr>
      <t>:</t>
    </r>
    <r>
      <rPr>
        <b/>
        <sz val="12"/>
        <rFont val="Cordia New"/>
        <family val="2"/>
      </rPr>
      <t xml:space="preserve"> </t>
    </r>
    <r>
      <rPr>
        <b/>
        <sz val="12"/>
        <color indexed="17"/>
        <rFont val="Cordia New"/>
        <family val="2"/>
      </rPr>
      <t>(บันทึกการปฏิบัติงานระหว่างวันที่ 1 กรกฎาคม 2561 ถึง วันที่ 31 ธันวาคม 2561)</t>
    </r>
    <r>
      <rPr>
        <b/>
        <sz val="12"/>
        <rFont val="Cordia New"/>
        <family val="2"/>
      </rPr>
      <t xml:space="preserve"> </t>
    </r>
  </si>
  <si>
    <t xml:space="preserve">ก. ประธานควบคุมฯ (คิดได้ 3 ครั้งๆละ 4 หน่วยฯต่อนิสิต 1 คน)  </t>
  </si>
  <si>
    <r>
      <t>ครั้งที่ 2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</si>
  <si>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3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</si>
  <si>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1 สอบเค้าโครง(</t>
    </r>
    <r>
      <rPr>
        <sz val="12"/>
        <color indexed="10"/>
        <rFont val="Cordia New"/>
        <family val="2"/>
      </rPr>
      <t xml:space="preserve">ระบุ </t>
    </r>
    <r>
      <rPr>
        <sz val="12"/>
        <color indexed="10"/>
        <rFont val="Cordia New"/>
        <family val="2"/>
      </rPr>
      <t>ชื่อ+วันสอบ)</t>
    </r>
  </si>
  <si>
    <r>
      <t xml:space="preserve">ครั้งที่ 2  </t>
    </r>
    <r>
      <rPr>
        <sz val="12"/>
        <color indexed="60"/>
        <rFont val="Cordia New"/>
        <family val="2"/>
      </rPr>
      <t>(ระบุชื่อ+วันสอบ)</t>
    </r>
  </si>
  <si>
    <r>
      <t xml:space="preserve">ครั้งที่ 3  </t>
    </r>
    <r>
      <rPr>
        <sz val="12"/>
        <color indexed="60"/>
        <rFont val="Cordia New"/>
        <family val="2"/>
      </rPr>
      <t>(ระบุชื่อ+วันสอบ)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</si>
  <si>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3 ครั้งๆละ 1 หน่วยฯต่อนิสิต 1 คน)  </t>
    </r>
  </si>
  <si>
    <t xml:space="preserve">ก. ประธานกรรมการ (คิดได้ 5 ครั้งๆละ 4 หน่วยฯต่อนิสิต 1 คน)  </t>
  </si>
  <si>
    <r>
      <t>ครั้งที่ 1 สอบเค้าโครง(ระบุ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</si>
  <si>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 1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</si>
  <si>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</si>
  <si>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</si>
  <si>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</si>
  <si>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4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</si>
  <si>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</si>
  <si>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</si>
  <si>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4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</si>
  <si>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</si>
  <si>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5 ครั้งๆละ 1 หน่วยฯ) </t>
    </r>
  </si>
  <si>
    <r>
      <t xml:space="preserve">2.5.1.2  บทความวิจัย (Research article)เผยแพร่ใน </t>
    </r>
    <r>
      <rPr>
        <sz val="12"/>
        <color indexed="10"/>
        <rFont val="Cordia New"/>
        <family val="2"/>
      </rPr>
      <t xml:space="preserve">TCI กลุ่ม 1 </t>
    </r>
    <r>
      <rPr>
        <sz val="12"/>
        <rFont val="Cordia New"/>
        <family val="2"/>
      </rPr>
      <t xml:space="preserve">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</t>
    </r>
    <r>
      <rPr>
        <sz val="12"/>
        <color indexed="30"/>
        <rFont val="Cordia New"/>
        <family val="2"/>
      </rPr>
      <t>กลุ่ม 2</t>
    </r>
    <r>
      <rPr>
        <sz val="12"/>
        <rFont val="Cordia New"/>
        <family val="2"/>
      </rPr>
      <t xml:space="preserve"> คิดได้ </t>
    </r>
    <r>
      <rPr>
        <sz val="12"/>
        <color indexed="30"/>
        <rFont val="Cordia New"/>
        <family val="2"/>
      </rPr>
      <t>6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</si>
  <si>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4.5.1 ตรวจเครื่องมือวิจัย/วิทยานิพนธ์/หรืออ่านผลงานทางวิชาการ เพื่อเลื่อนตำแหน่ง </t>
  </si>
  <si>
    <r>
      <t xml:space="preserve">4.5.4  กรรมการองค์กรวิชาชีพพยาบาล หรือ กก วิชาการของพยาบาล (1 ชุด คิด 0.5 หน่วย) ระบุ </t>
    </r>
    <r>
      <rPr>
        <sz val="12"/>
        <color indexed="10"/>
        <rFont val="Cordia New"/>
        <family val="2"/>
      </rPr>
      <t>.</t>
    </r>
  </si>
  <si>
    <t>ระบุ ..........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</si>
  <si>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</t>
    </r>
  </si>
  <si>
    <t xml:space="preserve"> ระบุ</t>
  </si>
  <si>
    <t>4.5.6  กรรมการสอบ APN (ต่อครั้ง) วิทยานิพนธ์ เค้าโครง นอกสถาบัน (1 เรื่อง คิด 0.5 หน่วย)</t>
  </si>
  <si>
    <t xml:space="preserve">4.5.7 วิทยากรภายในคณะ และภายในมหาวิทยาลัย (คิด 0.25 หน่วยภาระงานต่อครั้ง) </t>
  </si>
  <si>
    <t>1 ชุด หรือ 1 เรื่อง  (1 ชุด คิด 1.0 หน่วย)  ระบุ....</t>
  </si>
  <si>
    <t>6.5  ประธาน กก บริหาร สนง.คณบดี และประธาน กก บริหารงานบริการวิชาการ คิด 12 หน่วยฯ</t>
  </si>
  <si>
    <t xml:space="preserve">6.6 กรรมการเฉพาะกิจที่ไม่มีในข้อบังคับ ชุดละ 0.5 หน่วยฯ รวมไม่เกิน 4 หน่วยฯ </t>
  </si>
  <si>
    <r>
      <t>6.7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</si>
  <si>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6.8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</si>
  <si>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</t>
    </r>
    <r>
      <rPr>
        <sz val="12"/>
        <rFont val="Arial"/>
        <family val="2"/>
      </rPr>
      <t xml:space="preserve">  </t>
    </r>
    <r>
      <rPr>
        <sz val="12"/>
        <rFont val="Cordia New"/>
        <family val="2"/>
      </rPr>
      <t>ประธานศูนย์วิจัยและปฏิบัติการเพื่อการเรียนรู้และพัฒนาเด็กเล็ก คิดได้ไม่เกิน 4 หน่วยชั่วโมง</t>
    </r>
  </si>
  <si>
    <r>
      <t xml:space="preserve">6.10 ประธานบริหารหลักสูตร ป.ตรี/โท/เอก หลักสูตรละ 6 หน่วยฯ </t>
    </r>
    <r>
      <rPr>
        <sz val="12"/>
        <color indexed="10"/>
        <rFont val="Cordia New"/>
        <family val="2"/>
      </rPr>
      <t xml:space="preserve"> ระบุ...</t>
    </r>
  </si>
  <si>
    <r>
      <t>6.11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</si>
  <si>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6.12 กรรมการบริหารหลักสูตร ป ตรี หรือบัณฑิตศึกษา หลักสูตรละ 2 หน่วยฯ คิดได้ไม่เกิน 4 หน่วยฯ</t>
  </si>
  <si>
    <r>
      <t>6.13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</si>
  <si>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6.14 (1)กรรมการประสานงานวิชา ป.ตรี  ท.บ./lab ประธาน (2 หน่วย) เลขาฯ (1 หน่วย) กก ( 0.5 หน่วย)</t>
  </si>
  <si>
    <t>6.14(2) กรรมการประสานงานวิชา ป.ตรี ฝึกงาน. ประธาน (3 หน่วย) เลขาฯ (1.5 หน่วย) กก ( 0.75 หน่วย)</t>
  </si>
  <si>
    <t>6.15 กรรมการบริหารรายวิชา ป.โท/เอก ประธาน (1 หน่วย) เลขาฯ (0.5 หน่วย) กรรมการ ( 0.25 หน่วย)</t>
  </si>
  <si>
    <t>6.16  รักษาการแทนผู้บริหาร คณบดี รองคณบดี ประธานสาขาวิชา (ทอนภาระงานจากตำแหน่งเดิมลง)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</si>
</sst>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#,##0.00_ ;\-#,##0.00\ "/>
    <numFmt numFmtId="201" formatCode="_-* #,##0_-;\-* #,##0_-;_-* &quot;-&quot;??_-;_-@_-"/>
    <numFmt numFmtId="202" formatCode="[$-107041E]d\ mmm\ yy;@"/>
    <numFmt numFmtId="203" formatCode="0.0"/>
    <numFmt numFmtId="204" formatCode="_-* #,##0.0_-;\-* #,##0.0_-;_-* &quot;-&quot;??_-;_-@_-"/>
    <numFmt numFmtId="205" formatCode="_(* #,##0_);_(* \(#,##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_-;\-* #,##0.000_-;_-* &quot;-&quot;??_-;_-@_-"/>
  </numFmts>
  <fonts count="186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b/>
      <sz val="12"/>
      <color indexed="17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2"/>
      <color indexed="30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b/>
      <sz val="14"/>
      <color indexed="17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6"/>
      <color indexed="10"/>
      <name val="Tahoma"/>
      <family val="2"/>
    </font>
    <font>
      <sz val="16"/>
      <color indexed="17"/>
      <name val="Tahoma"/>
      <family val="2"/>
    </font>
    <font>
      <sz val="16"/>
      <color indexed="62"/>
      <name val="Cordia New"/>
      <family val="2"/>
    </font>
    <font>
      <sz val="16"/>
      <color indexed="36"/>
      <name val="Cordia New"/>
      <family val="2"/>
    </font>
    <font>
      <b/>
      <sz val="16"/>
      <color indexed="36"/>
      <name val="Cordia New"/>
      <family val="2"/>
    </font>
    <font>
      <sz val="16"/>
      <color indexed="17"/>
      <name val="Cordia New"/>
      <family val="2"/>
    </font>
    <font>
      <b/>
      <sz val="16"/>
      <color indexed="17"/>
      <name val="Cordia New"/>
      <family val="2"/>
    </font>
    <font>
      <sz val="16"/>
      <color indexed="60"/>
      <name val="Cordia New"/>
      <family val="2"/>
    </font>
    <font>
      <sz val="12"/>
      <color indexed="10"/>
      <name val="TH SarabunPSK"/>
      <family val="2"/>
    </font>
    <font>
      <b/>
      <sz val="16"/>
      <color indexed="10"/>
      <name val="Cordia New"/>
      <family val="2"/>
    </font>
    <font>
      <sz val="14"/>
      <color indexed="62"/>
      <name val="Cordia New"/>
      <family val="2"/>
    </font>
    <font>
      <sz val="14"/>
      <color indexed="36"/>
      <name val="Cordia New"/>
      <family val="2"/>
    </font>
    <font>
      <sz val="16"/>
      <color indexed="10"/>
      <name val="Cordia New"/>
      <family val="2"/>
    </font>
    <font>
      <b/>
      <sz val="11"/>
      <color indexed="60"/>
      <name val="Cordia New"/>
      <family val="2"/>
    </font>
    <font>
      <b/>
      <sz val="12"/>
      <color indexed="57"/>
      <name val="Cordia New"/>
      <family val="2"/>
    </font>
    <font>
      <b/>
      <sz val="12"/>
      <color indexed="10"/>
      <name val="Tahoma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b/>
      <sz val="14"/>
      <color rgb="FF00B05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sz val="11"/>
      <color rgb="FFFF000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sz val="16"/>
      <color rgb="FF00B050"/>
      <name val="Calibri"/>
      <family val="2"/>
    </font>
    <font>
      <sz val="16"/>
      <color theme="4" tint="-0.24997000396251678"/>
      <name val="Cordia New"/>
      <family val="2"/>
    </font>
    <font>
      <sz val="16"/>
      <color theme="7" tint="-0.24997000396251678"/>
      <name val="Cordia New"/>
      <family val="2"/>
    </font>
    <font>
      <b/>
      <sz val="16"/>
      <color theme="7" tint="-0.24997000396251678"/>
      <name val="Cordia New"/>
      <family val="2"/>
    </font>
    <font>
      <sz val="16"/>
      <color rgb="FF00B050"/>
      <name val="Cordia New"/>
      <family val="2"/>
    </font>
    <font>
      <b/>
      <sz val="16"/>
      <color rgb="FF00B050"/>
      <name val="Cordia New"/>
      <family val="2"/>
    </font>
    <font>
      <sz val="16"/>
      <color theme="3" tint="0.39998000860214233"/>
      <name val="Cordia New"/>
      <family val="2"/>
    </font>
    <font>
      <sz val="16"/>
      <color theme="9" tint="-0.4999699890613556"/>
      <name val="Cordia New"/>
      <family val="2"/>
    </font>
    <font>
      <b/>
      <sz val="12"/>
      <color theme="6" tint="-0.4999699890613556"/>
      <name val="Cordia New"/>
      <family val="2"/>
    </font>
    <font>
      <sz val="12"/>
      <color rgb="FFFF0000"/>
      <name val="TH SarabunPSK"/>
      <family val="2"/>
    </font>
    <font>
      <b/>
      <sz val="16"/>
      <color rgb="FFFF0000"/>
      <name val="Cordia New"/>
      <family val="2"/>
    </font>
    <font>
      <sz val="14"/>
      <color theme="4" tint="-0.24997000396251678"/>
      <name val="Cordia New"/>
      <family val="2"/>
    </font>
    <font>
      <sz val="14"/>
      <color rgb="FF7030A0"/>
      <name val="Cordia New"/>
      <family val="2"/>
    </font>
    <font>
      <sz val="16"/>
      <color rgb="FFFF0000"/>
      <name val="Cordia New"/>
      <family val="2"/>
    </font>
    <font>
      <sz val="14"/>
      <color rgb="FFC00000"/>
      <name val="Cordia New"/>
      <family val="2"/>
    </font>
    <font>
      <b/>
      <sz val="11"/>
      <color theme="9" tint="-0.4999699890613556"/>
      <name val="Cordia New"/>
      <family val="2"/>
    </font>
    <font>
      <b/>
      <sz val="12"/>
      <color theme="6" tint="-0.24997000396251678"/>
      <name val="Cordia New"/>
      <family val="2"/>
    </font>
    <font>
      <sz val="10"/>
      <color rgb="FFFF0000"/>
      <name val="Cordia New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>
        <color indexed="5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>
        <color rgb="FFFF0000"/>
      </left>
      <right/>
      <top style="thin"/>
      <bottom style="thin"/>
    </border>
    <border>
      <left style="thin">
        <color rgb="FFFF0000"/>
      </left>
      <right style="dotted"/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dotted"/>
      <right style="thin"/>
      <top style="thin"/>
      <bottom style="thin">
        <color rgb="FFFF0000"/>
      </bottom>
    </border>
    <border>
      <left style="thin"/>
      <right style="dotted"/>
      <top style="thin"/>
      <bottom style="thin">
        <color rgb="FFFF0000"/>
      </bottom>
    </border>
    <border>
      <left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/>
      <right/>
      <top style="thin">
        <color rgb="FFFF0000"/>
      </top>
      <bottom style="thin"/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 style="thin"/>
      <top style="double">
        <color theme="6" tint="-0.4999699890613556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thin"/>
      <top style="double">
        <color theme="6" tint="-0.24993999302387238"/>
      </top>
      <bottom/>
    </border>
    <border>
      <left>
        <color indexed="63"/>
      </left>
      <right style="thin"/>
      <top/>
      <bottom style="double">
        <color theme="6" tint="-0.4999699890613556"/>
      </bottom>
    </border>
    <border>
      <left style="thin"/>
      <right style="thin"/>
      <top style="double">
        <color theme="3" tint="0.3999499976634979"/>
      </top>
      <bottom/>
    </border>
    <border>
      <left style="thin"/>
      <right style="thin"/>
      <top/>
      <bottom style="double">
        <color theme="3" tint="0.3999499976634979"/>
      </bottom>
    </border>
    <border>
      <left style="thin"/>
      <right>
        <color indexed="63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double">
        <color theme="6" tint="-0.4999699890613556"/>
      </left>
      <right style="thin">
        <color theme="3" tint="0.3999499976634979"/>
      </right>
      <top style="thin"/>
      <bottom style="thin"/>
    </border>
    <border>
      <left>
        <color indexed="63"/>
      </left>
      <right style="double">
        <color theme="4" tint="-0.24993999302387238"/>
      </right>
      <top style="thin"/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9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26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3" fillId="0" borderId="18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20" xfId="42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 quotePrefix="1">
      <alignment horizontal="center"/>
    </xf>
    <xf numFmtId="1" fontId="3" fillId="34" borderId="17" xfId="0" applyNumberFormat="1" applyFont="1" applyFill="1" applyBorder="1" applyAlignment="1">
      <alignment/>
    </xf>
    <xf numFmtId="2" fontId="3" fillId="34" borderId="17" xfId="0" applyNumberFormat="1" applyFont="1" applyFill="1" applyBorder="1" applyAlignment="1" quotePrefix="1">
      <alignment horizontal="center"/>
    </xf>
    <xf numFmtId="2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3" fontId="3" fillId="34" borderId="14" xfId="42" applyFont="1" applyFill="1" applyBorder="1" applyAlignment="1">
      <alignment/>
    </xf>
    <xf numFmtId="2" fontId="6" fillId="0" borderId="32" xfId="0" applyNumberFormat="1" applyFon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0" fontId="22" fillId="0" borderId="14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43" fontId="2" fillId="35" borderId="14" xfId="42" applyFont="1" applyFill="1" applyBorder="1" applyAlignment="1">
      <alignment/>
    </xf>
    <xf numFmtId="2" fontId="23" fillId="0" borderId="23" xfId="0" applyNumberFormat="1" applyFont="1" applyBorder="1" applyAlignment="1" applyProtection="1">
      <alignment/>
      <protection hidden="1"/>
    </xf>
    <xf numFmtId="2" fontId="23" fillId="0" borderId="25" xfId="0" applyNumberFormat="1" applyFont="1" applyBorder="1" applyAlignment="1" applyProtection="1">
      <alignment/>
      <protection hidden="1"/>
    </xf>
    <xf numFmtId="2" fontId="23" fillId="0" borderId="24" xfId="0" applyNumberFormat="1" applyFont="1" applyBorder="1" applyAlignment="1" applyProtection="1">
      <alignment/>
      <protection hidden="1"/>
    </xf>
    <xf numFmtId="2" fontId="23" fillId="0" borderId="32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 applyProtection="1">
      <alignment/>
      <protection hidden="1"/>
    </xf>
    <xf numFmtId="2" fontId="23" fillId="0" borderId="15" xfId="0" applyNumberFormat="1" applyFont="1" applyBorder="1" applyAlignment="1" applyProtection="1">
      <alignment/>
      <protection hidden="1"/>
    </xf>
    <xf numFmtId="2" fontId="23" fillId="0" borderId="22" xfId="0" applyNumberFormat="1" applyFont="1" applyBorder="1" applyAlignment="1" applyProtection="1">
      <alignment/>
      <protection hidden="1"/>
    </xf>
    <xf numFmtId="2" fontId="23" fillId="0" borderId="35" xfId="0" applyNumberFormat="1" applyFont="1" applyBorder="1" applyAlignment="1" applyProtection="1">
      <alignment/>
      <protection hidden="1"/>
    </xf>
    <xf numFmtId="2" fontId="23" fillId="0" borderId="36" xfId="0" applyNumberFormat="1" applyFont="1" applyBorder="1" applyAlignment="1" applyProtection="1">
      <alignment/>
      <protection hidden="1"/>
    </xf>
    <xf numFmtId="2" fontId="23" fillId="0" borderId="37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>
      <alignment/>
    </xf>
    <xf numFmtId="2" fontId="23" fillId="0" borderId="38" xfId="0" applyNumberFormat="1" applyFont="1" applyBorder="1" applyAlignment="1" applyProtection="1">
      <alignment/>
      <protection hidden="1"/>
    </xf>
    <xf numFmtId="2" fontId="23" fillId="0" borderId="33" xfId="0" applyNumberFormat="1" applyFont="1" applyBorder="1" applyAlignment="1" applyProtection="1">
      <alignment/>
      <protection hidden="1"/>
    </xf>
    <xf numFmtId="2" fontId="23" fillId="0" borderId="39" xfId="0" applyNumberFormat="1" applyFont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 quotePrefix="1">
      <alignment horizontal="center"/>
      <protection locked="0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0" fontId="7" fillId="0" borderId="28" xfId="0" applyFont="1" applyBorder="1" applyAlignment="1" applyProtection="1" quotePrefix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2" fontId="3" fillId="0" borderId="41" xfId="0" applyNumberFormat="1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30" fillId="0" borderId="12" xfId="0" applyFont="1" applyBorder="1" applyAlignment="1" applyProtection="1">
      <alignment/>
      <protection locked="0"/>
    </xf>
    <xf numFmtId="0" fontId="130" fillId="0" borderId="21" xfId="0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 quotePrefix="1">
      <alignment horizontal="center"/>
      <protection hidden="1"/>
    </xf>
    <xf numFmtId="2" fontId="3" fillId="0" borderId="21" xfId="0" applyNumberFormat="1" applyFont="1" applyBorder="1" applyAlignment="1" applyProtection="1" quotePrefix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 quotePrefix="1">
      <alignment horizontal="center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3" xfId="0" applyNumberFormat="1" applyFont="1" applyBorder="1" applyAlignment="1" applyProtection="1" quotePrefix="1">
      <alignment horizontal="center"/>
      <protection hidden="1"/>
    </xf>
    <xf numFmtId="0" fontId="27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 quotePrefix="1">
      <alignment horizontal="center"/>
      <protection hidden="1"/>
    </xf>
    <xf numFmtId="1" fontId="3" fillId="0" borderId="12" xfId="0" applyNumberFormat="1" applyFont="1" applyBorder="1" applyAlignment="1" applyProtection="1">
      <alignment/>
      <protection hidden="1"/>
    </xf>
    <xf numFmtId="2" fontId="3" fillId="0" borderId="42" xfId="0" applyNumberFormat="1" applyFont="1" applyBorder="1" applyAlignment="1" applyProtection="1" quotePrefix="1">
      <alignment horizontal="center"/>
      <protection hidden="1"/>
    </xf>
    <xf numFmtId="2" fontId="3" fillId="0" borderId="43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32" xfId="0" applyNumberFormat="1" applyFont="1" applyBorder="1" applyAlignment="1" applyProtection="1">
      <alignment/>
      <protection hidden="1"/>
    </xf>
    <xf numFmtId="2" fontId="3" fillId="0" borderId="30" xfId="0" applyNumberFormat="1" applyFont="1" applyBorder="1" applyAlignment="1" applyProtection="1">
      <alignment/>
      <protection hidden="1"/>
    </xf>
    <xf numFmtId="0" fontId="131" fillId="0" borderId="16" xfId="0" applyFont="1" applyBorder="1" applyAlignment="1" applyProtection="1">
      <alignment/>
      <protection locked="0"/>
    </xf>
    <xf numFmtId="0" fontId="131" fillId="0" borderId="12" xfId="0" applyFont="1" applyBorder="1" applyAlignment="1" applyProtection="1">
      <alignment/>
      <protection locked="0"/>
    </xf>
    <xf numFmtId="0" fontId="131" fillId="0" borderId="2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132" fillId="0" borderId="12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99" fontId="3" fillId="0" borderId="12" xfId="0" applyNumberFormat="1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16" fillId="0" borderId="44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 quotePrefix="1">
      <alignment/>
      <protection hidden="1"/>
    </xf>
    <xf numFmtId="1" fontId="133" fillId="0" borderId="28" xfId="0" applyNumberFormat="1" applyFont="1" applyBorder="1" applyAlignment="1" applyProtection="1" quotePrefix="1">
      <alignment horizontal="right"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right"/>
      <protection hidden="1"/>
    </xf>
    <xf numFmtId="1" fontId="3" fillId="0" borderId="21" xfId="0" applyNumberFormat="1" applyFont="1" applyBorder="1" applyAlignment="1" applyProtection="1" quotePrefix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1" fontId="133" fillId="0" borderId="44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 quotePrefix="1">
      <alignment horizontal="right"/>
      <protection hidden="1"/>
    </xf>
    <xf numFmtId="0" fontId="3" fillId="0" borderId="22" xfId="0" applyFont="1" applyBorder="1" applyAlignment="1" applyProtection="1" quotePrefix="1">
      <alignment horizontal="right"/>
      <protection hidden="1"/>
    </xf>
    <xf numFmtId="43" fontId="3" fillId="0" borderId="15" xfId="42" applyFont="1" applyBorder="1" applyAlignment="1" applyProtection="1">
      <alignment horizontal="right"/>
      <protection hidden="1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>
      <alignment horizontal="center"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201" fontId="7" fillId="0" borderId="47" xfId="42" applyNumberFormat="1" applyFont="1" applyBorder="1" applyAlignment="1" applyProtection="1" quotePrefix="1">
      <alignment horizontal="center"/>
      <protection locked="0"/>
    </xf>
    <xf numFmtId="202" fontId="7" fillId="0" borderId="47" xfId="0" applyNumberFormat="1" applyFont="1" applyBorder="1" applyAlignment="1" applyProtection="1" quotePrefix="1">
      <alignment horizontal="center"/>
      <protection locked="0"/>
    </xf>
    <xf numFmtId="202" fontId="3" fillId="0" borderId="47" xfId="0" applyNumberFormat="1" applyFont="1" applyBorder="1" applyAlignment="1" applyProtection="1" quotePrefix="1">
      <alignment horizontal="right"/>
      <protection hidden="1"/>
    </xf>
    <xf numFmtId="0" fontId="7" fillId="0" borderId="48" xfId="0" applyFont="1" applyBorder="1" applyAlignment="1" applyProtection="1" quotePrefix="1">
      <alignment horizontal="center"/>
      <protection locked="0"/>
    </xf>
    <xf numFmtId="0" fontId="3" fillId="0" borderId="49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34" fillId="0" borderId="47" xfId="0" applyFont="1" applyBorder="1" applyAlignment="1">
      <alignment horizontal="left"/>
    </xf>
    <xf numFmtId="2" fontId="36" fillId="0" borderId="2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Font="1" applyBorder="1" applyAlignment="1" applyProtection="1" quotePrefix="1">
      <alignment horizontal="center"/>
      <protection locked="0"/>
    </xf>
    <xf numFmtId="0" fontId="3" fillId="0" borderId="47" xfId="0" applyFont="1" applyBorder="1" applyAlignment="1" applyProtection="1" quotePrefix="1">
      <alignment horizontal="right"/>
      <protection hidden="1"/>
    </xf>
    <xf numFmtId="202" fontId="7" fillId="4" borderId="32" xfId="0" applyNumberFormat="1" applyFont="1" applyFill="1" applyBorder="1" applyAlignment="1" applyProtection="1" quotePrefix="1">
      <alignment horizontal="center"/>
      <protection hidden="1"/>
    </xf>
    <xf numFmtId="202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Font="1" applyFill="1" applyBorder="1" applyAlignment="1" applyProtection="1" quotePrefix="1">
      <alignment horizontal="right"/>
      <protection hidden="1"/>
    </xf>
    <xf numFmtId="202" fontId="7" fillId="0" borderId="54" xfId="0" applyNumberFormat="1" applyFont="1" applyBorder="1" applyAlignment="1" applyProtection="1" quotePrefix="1">
      <alignment horizontal="center"/>
      <protection locked="0"/>
    </xf>
    <xf numFmtId="202" fontId="3" fillId="0" borderId="54" xfId="0" applyNumberFormat="1" applyFont="1" applyBorder="1" applyAlignment="1" applyProtection="1" quotePrefix="1">
      <alignment horizontal="right"/>
      <protection locked="0"/>
    </xf>
    <xf numFmtId="0" fontId="134" fillId="0" borderId="54" xfId="0" applyFont="1" applyBorder="1" applyAlignment="1" applyProtection="1" quotePrefix="1">
      <alignment horizontal="center"/>
      <protection locked="0"/>
    </xf>
    <xf numFmtId="0" fontId="134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 quotePrefix="1">
      <alignment horizontal="center"/>
      <protection locked="0"/>
    </xf>
    <xf numFmtId="202" fontId="7" fillId="4" borderId="12" xfId="0" applyNumberFormat="1" applyFont="1" applyFill="1" applyBorder="1" applyAlignment="1" applyProtection="1" quotePrefix="1">
      <alignment horizontal="center"/>
      <protection hidden="1"/>
    </xf>
    <xf numFmtId="202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201" fontId="31" fillId="0" borderId="54" xfId="42" applyNumberFormat="1" applyFont="1" applyBorder="1" applyAlignment="1" applyProtection="1" quotePrefix="1">
      <alignment horizontal="center"/>
      <protection locked="0"/>
    </xf>
    <xf numFmtId="201" fontId="31" fillId="4" borderId="12" xfId="42" applyNumberFormat="1" applyFont="1" applyFill="1" applyBorder="1" applyAlignment="1" applyProtection="1" quotePrefix="1">
      <alignment horizontal="center"/>
      <protection hidden="1"/>
    </xf>
    <xf numFmtId="201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43" fontId="3" fillId="0" borderId="12" xfId="42" applyFont="1" applyBorder="1" applyAlignment="1" applyProtection="1">
      <alignment horizontal="center"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43" fontId="3" fillId="0" borderId="21" xfId="42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201" fontId="135" fillId="4" borderId="12" xfId="42" applyNumberFormat="1" applyFont="1" applyFill="1" applyBorder="1" applyAlignment="1" applyProtection="1" quotePrefix="1">
      <alignment horizontal="center"/>
      <protection hidden="1"/>
    </xf>
    <xf numFmtId="202" fontId="135" fillId="4" borderId="12" xfId="0" applyNumberFormat="1" applyFont="1" applyFill="1" applyBorder="1" applyAlignment="1" applyProtection="1" quotePrefix="1">
      <alignment horizontal="center"/>
      <protection hidden="1"/>
    </xf>
    <xf numFmtId="202" fontId="135" fillId="4" borderId="12" xfId="0" applyNumberFormat="1" applyFont="1" applyFill="1" applyBorder="1" applyAlignment="1" applyProtection="1" quotePrefix="1">
      <alignment horizontal="right"/>
      <protection hidden="1"/>
    </xf>
    <xf numFmtId="0" fontId="135" fillId="4" borderId="12" xfId="0" applyFont="1" applyFill="1" applyBorder="1" applyAlignment="1" applyProtection="1" quotePrefix="1">
      <alignment horizontal="center"/>
      <protection hidden="1"/>
    </xf>
    <xf numFmtId="0" fontId="135" fillId="4" borderId="56" xfId="0" applyFont="1" applyFill="1" applyBorder="1" applyAlignment="1" applyProtection="1" quotePrefix="1">
      <alignment horizontal="center"/>
      <protection hidden="1"/>
    </xf>
    <xf numFmtId="201" fontId="135" fillId="4" borderId="32" xfId="42" applyNumberFormat="1" applyFont="1" applyFill="1" applyBorder="1" applyAlignment="1" applyProtection="1" quotePrefix="1">
      <alignment horizontal="center"/>
      <protection hidden="1"/>
    </xf>
    <xf numFmtId="202" fontId="135" fillId="4" borderId="32" xfId="0" applyNumberFormat="1" applyFont="1" applyFill="1" applyBorder="1" applyAlignment="1" applyProtection="1" quotePrefix="1">
      <alignment horizontal="center"/>
      <protection hidden="1"/>
    </xf>
    <xf numFmtId="202" fontId="135" fillId="4" borderId="32" xfId="0" applyNumberFormat="1" applyFont="1" applyFill="1" applyBorder="1" applyAlignment="1" applyProtection="1" quotePrefix="1">
      <alignment horizontal="right"/>
      <protection hidden="1"/>
    </xf>
    <xf numFmtId="0" fontId="135" fillId="4" borderId="32" xfId="0" applyFont="1" applyFill="1" applyBorder="1" applyAlignment="1" applyProtection="1" quotePrefix="1">
      <alignment horizontal="center"/>
      <protection hidden="1"/>
    </xf>
    <xf numFmtId="0" fontId="135" fillId="4" borderId="32" xfId="0" applyFont="1" applyFill="1" applyBorder="1" applyAlignment="1" applyProtection="1" quotePrefix="1">
      <alignment horizontal="right"/>
      <protection hidden="1"/>
    </xf>
    <xf numFmtId="0" fontId="135" fillId="4" borderId="53" xfId="0" applyFont="1" applyFill="1" applyBorder="1" applyAlignment="1" applyProtection="1" quotePrefix="1">
      <alignment horizontal="center"/>
      <protection hidden="1"/>
    </xf>
    <xf numFmtId="201" fontId="136" fillId="4" borderId="12" xfId="42" applyNumberFormat="1" applyFont="1" applyFill="1" applyBorder="1" applyAlignment="1" applyProtection="1" quotePrefix="1">
      <alignment horizontal="center"/>
      <protection hidden="1"/>
    </xf>
    <xf numFmtId="201" fontId="136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>
      <alignment/>
    </xf>
    <xf numFmtId="2" fontId="3" fillId="0" borderId="63" xfId="0" applyNumberFormat="1" applyFont="1" applyBorder="1" applyAlignment="1" applyProtection="1">
      <alignment horizontal="right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hidden="1"/>
    </xf>
    <xf numFmtId="0" fontId="137" fillId="0" borderId="14" xfId="0" applyFont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35" fillId="4" borderId="14" xfId="0" applyNumberFormat="1" applyFont="1" applyFill="1" applyBorder="1" applyAlignment="1" applyProtection="1" quotePrefix="1">
      <alignment horizontal="center"/>
      <protection hidden="1"/>
    </xf>
    <xf numFmtId="2" fontId="135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Border="1" applyAlignment="1" applyProtection="1" quotePrefix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37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200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138" fillId="0" borderId="12" xfId="0" applyNumberFormat="1" applyFont="1" applyBorder="1" applyAlignment="1" applyProtection="1">
      <alignment horizontal="right"/>
      <protection hidden="1"/>
    </xf>
    <xf numFmtId="1" fontId="138" fillId="0" borderId="21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37" fillId="0" borderId="15" xfId="0" applyFont="1" applyBorder="1" applyAlignment="1" applyProtection="1">
      <alignment horizontal="center"/>
      <protection locked="0"/>
    </xf>
    <xf numFmtId="0" fontId="139" fillId="0" borderId="12" xfId="0" applyFont="1" applyBorder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 quotePrefix="1">
      <alignment horizontal="right"/>
      <protection hidden="1"/>
    </xf>
    <xf numFmtId="0" fontId="139" fillId="0" borderId="14" xfId="0" applyFont="1" applyBorder="1" applyAlignment="1" applyProtection="1" quotePrefix="1">
      <alignment horizontal="right"/>
      <protection locked="0"/>
    </xf>
    <xf numFmtId="0" fontId="139" fillId="0" borderId="16" xfId="0" applyFont="1" applyBorder="1" applyAlignment="1" applyProtection="1" quotePrefix="1">
      <alignment horizontal="right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39" fillId="4" borderId="20" xfId="0" applyFont="1" applyFill="1" applyBorder="1" applyAlignment="1" applyProtection="1">
      <alignment horizontal="center"/>
      <protection locked="0"/>
    </xf>
    <xf numFmtId="0" fontId="139" fillId="0" borderId="21" xfId="0" applyFont="1" applyBorder="1" applyAlignment="1" applyProtection="1" quotePrefix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 quotePrefix="1">
      <alignment horizontal="center"/>
      <protection hidden="1"/>
    </xf>
    <xf numFmtId="0" fontId="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7" fillId="0" borderId="2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39" fillId="0" borderId="14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right"/>
      <protection hidden="1"/>
    </xf>
    <xf numFmtId="200" fontId="3" fillId="0" borderId="12" xfId="42" applyNumberFormat="1" applyFont="1" applyBorder="1" applyAlignment="1" applyProtection="1" quotePrefix="1">
      <alignment horizontal="right"/>
      <protection hidden="1"/>
    </xf>
    <xf numFmtId="0" fontId="7" fillId="0" borderId="70" xfId="0" applyFont="1" applyBorder="1" applyAlignment="1" applyProtection="1">
      <alignment horizontal="center"/>
      <protection locked="0"/>
    </xf>
    <xf numFmtId="0" fontId="139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39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23" fillId="0" borderId="30" xfId="0" applyNumberFormat="1" applyFont="1" applyBorder="1" applyAlignment="1" applyProtection="1">
      <alignment/>
      <protection hidden="1"/>
    </xf>
    <xf numFmtId="0" fontId="7" fillId="0" borderId="12" xfId="0" applyFont="1" applyBorder="1" applyAlignment="1" applyProtection="1" quotePrefix="1">
      <alignment horizontal="center"/>
      <protection locked="0"/>
    </xf>
    <xf numFmtId="0" fontId="139" fillId="0" borderId="0" xfId="0" applyFont="1" applyAlignment="1" applyProtection="1">
      <alignment/>
      <protection locked="0"/>
    </xf>
    <xf numFmtId="2" fontId="139" fillId="0" borderId="19" xfId="0" applyNumberFormat="1" applyFont="1" applyBorder="1" applyAlignment="1">
      <alignment/>
    </xf>
    <xf numFmtId="2" fontId="18" fillId="0" borderId="0" xfId="0" applyNumberFormat="1" applyFont="1" applyAlignment="1" applyProtection="1">
      <alignment horizontal="right"/>
      <protection hidden="1"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 horizontal="right"/>
      <protection hidden="1"/>
    </xf>
    <xf numFmtId="0" fontId="3" fillId="0" borderId="72" xfId="0" applyFont="1" applyBorder="1" applyAlignment="1">
      <alignment horizontal="center"/>
    </xf>
    <xf numFmtId="2" fontId="3" fillId="0" borderId="73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/>
    </xf>
    <xf numFmtId="2" fontId="3" fillId="0" borderId="75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3" fillId="0" borderId="77" xfId="0" applyFont="1" applyBorder="1" applyAlignment="1">
      <alignment horizontal="center"/>
    </xf>
    <xf numFmtId="2" fontId="3" fillId="0" borderId="78" xfId="0" applyNumberFormat="1" applyFont="1" applyBorder="1" applyAlignment="1" applyProtection="1">
      <alignment horizontal="right"/>
      <protection hidden="1"/>
    </xf>
    <xf numFmtId="0" fontId="140" fillId="0" borderId="7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9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" fontId="139" fillId="0" borderId="21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39" fillId="0" borderId="14" xfId="0" applyFont="1" applyBorder="1" applyAlignment="1" applyProtection="1">
      <alignment/>
      <protection locked="0"/>
    </xf>
    <xf numFmtId="0" fontId="141" fillId="0" borderId="14" xfId="0" applyFont="1" applyBorder="1" applyAlignment="1" applyProtection="1">
      <alignment/>
      <protection locked="0"/>
    </xf>
    <xf numFmtId="0" fontId="138" fillId="0" borderId="14" xfId="0" applyFont="1" applyBorder="1" applyAlignment="1" applyProtection="1">
      <alignment/>
      <protection locked="0"/>
    </xf>
    <xf numFmtId="43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142" fillId="37" borderId="14" xfId="0" applyFont="1" applyFill="1" applyBorder="1" applyAlignment="1" applyProtection="1">
      <alignment/>
      <protection locked="0"/>
    </xf>
    <xf numFmtId="0" fontId="143" fillId="0" borderId="12" xfId="0" applyFont="1" applyBorder="1" applyAlignment="1" applyProtection="1">
      <alignment/>
      <protection locked="0"/>
    </xf>
    <xf numFmtId="0" fontId="139" fillId="0" borderId="12" xfId="0" applyFont="1" applyBorder="1" applyAlignment="1" applyProtection="1">
      <alignment/>
      <protection locked="0"/>
    </xf>
    <xf numFmtId="0" fontId="144" fillId="37" borderId="14" xfId="0" applyFont="1" applyFill="1" applyBorder="1" applyAlignment="1" applyProtection="1">
      <alignment/>
      <protection locked="0"/>
    </xf>
    <xf numFmtId="2" fontId="134" fillId="0" borderId="80" xfId="0" applyNumberFormat="1" applyFont="1" applyBorder="1" applyAlignment="1" applyProtection="1" quotePrefix="1">
      <alignment horizontal="center"/>
      <protection hidden="1"/>
    </xf>
    <xf numFmtId="0" fontId="139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39" fillId="0" borderId="0" xfId="0" applyFont="1" applyAlignment="1">
      <alignment horizontal="center"/>
    </xf>
    <xf numFmtId="0" fontId="145" fillId="0" borderId="12" xfId="0" applyFont="1" applyBorder="1" applyAlignment="1" applyProtection="1">
      <alignment/>
      <protection locked="0"/>
    </xf>
    <xf numFmtId="0" fontId="145" fillId="0" borderId="21" xfId="0" applyFont="1" applyBorder="1" applyAlignment="1" applyProtection="1">
      <alignment/>
      <protection locked="0"/>
    </xf>
    <xf numFmtId="2" fontId="23" fillId="0" borderId="81" xfId="0" applyNumberFormat="1" applyFont="1" applyBorder="1" applyAlignment="1" applyProtection="1">
      <alignment/>
      <protection hidden="1"/>
    </xf>
    <xf numFmtId="2" fontId="23" fillId="0" borderId="82" xfId="0" applyNumberFormat="1" applyFont="1" applyBorder="1" applyAlignment="1" applyProtection="1">
      <alignment horizontal="center"/>
      <protection hidden="1"/>
    </xf>
    <xf numFmtId="2" fontId="6" fillId="0" borderId="33" xfId="0" applyNumberFormat="1" applyFont="1" applyBorder="1" applyAlignment="1" applyProtection="1">
      <alignment/>
      <protection hidden="1"/>
    </xf>
    <xf numFmtId="0" fontId="139" fillId="0" borderId="21" xfId="0" applyFont="1" applyBorder="1" applyAlignment="1" applyProtection="1">
      <alignment/>
      <protection locked="0"/>
    </xf>
    <xf numFmtId="0" fontId="3" fillId="0" borderId="83" xfId="0" applyFont="1" applyBorder="1" applyAlignment="1">
      <alignment/>
    </xf>
    <xf numFmtId="0" fontId="3" fillId="0" borderId="84" xfId="0" applyFont="1" applyBorder="1" applyAlignment="1" applyProtection="1">
      <alignment horizontal="left"/>
      <protection locked="0"/>
    </xf>
    <xf numFmtId="1" fontId="3" fillId="0" borderId="84" xfId="0" applyNumberFormat="1" applyFont="1" applyBorder="1" applyAlignment="1" applyProtection="1" quotePrefix="1">
      <alignment/>
      <protection hidden="1"/>
    </xf>
    <xf numFmtId="1" fontId="3" fillId="0" borderId="84" xfId="0" applyNumberFormat="1" applyFont="1" applyBorder="1" applyAlignment="1" applyProtection="1" quotePrefix="1">
      <alignment horizontal="center"/>
      <protection hidden="1"/>
    </xf>
    <xf numFmtId="0" fontId="8" fillId="0" borderId="85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 quotePrefix="1">
      <alignment horizontal="right"/>
      <protection locked="0"/>
    </xf>
    <xf numFmtId="1" fontId="133" fillId="0" borderId="84" xfId="0" applyNumberFormat="1" applyFont="1" applyBorder="1" applyAlignment="1" applyProtection="1" quotePrefix="1">
      <alignment horizontal="right"/>
      <protection locked="0"/>
    </xf>
    <xf numFmtId="2" fontId="3" fillId="0" borderId="85" xfId="0" applyNumberFormat="1" applyFont="1" applyBorder="1" applyAlignment="1" applyProtection="1" quotePrefix="1">
      <alignment horizontal="center"/>
      <protection hidden="1"/>
    </xf>
    <xf numFmtId="1" fontId="133" fillId="0" borderId="21" xfId="0" applyNumberFormat="1" applyFont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43" fontId="2" fillId="35" borderId="18" xfId="42" applyFont="1" applyFill="1" applyBorder="1" applyAlignment="1">
      <alignment/>
    </xf>
    <xf numFmtId="2" fontId="6" fillId="0" borderId="15" xfId="0" applyNumberFormat="1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7" fillId="0" borderId="17" xfId="0" applyFont="1" applyBorder="1" applyAlignment="1">
      <alignment horizontal="center"/>
    </xf>
    <xf numFmtId="1" fontId="146" fillId="0" borderId="40" xfId="0" applyNumberFormat="1" applyFont="1" applyBorder="1" applyAlignment="1" quotePrefix="1">
      <alignment horizontal="center"/>
    </xf>
    <xf numFmtId="2" fontId="146" fillId="0" borderId="40" xfId="0" applyNumberFormat="1" applyFont="1" applyBorder="1" applyAlignment="1" quotePrefix="1">
      <alignment horizontal="center"/>
    </xf>
    <xf numFmtId="2" fontId="146" fillId="0" borderId="40" xfId="0" applyNumberFormat="1" applyFont="1" applyBorder="1" applyAlignment="1" quotePrefix="1">
      <alignment horizontal="center"/>
    </xf>
    <xf numFmtId="0" fontId="137" fillId="0" borderId="1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39" fillId="0" borderId="0" xfId="0" applyFont="1" applyAlignment="1" applyProtection="1">
      <alignment/>
      <protection locked="0"/>
    </xf>
    <xf numFmtId="1" fontId="7" fillId="0" borderId="86" xfId="0" applyNumberFormat="1" applyFont="1" applyBorder="1" applyAlignment="1" applyProtection="1">
      <alignment/>
      <protection locked="0"/>
    </xf>
    <xf numFmtId="1" fontId="7" fillId="0" borderId="70" xfId="0" applyNumberFormat="1" applyFont="1" applyBorder="1" applyAlignment="1" applyProtection="1">
      <alignment/>
      <protection locked="0"/>
    </xf>
    <xf numFmtId="1" fontId="7" fillId="0" borderId="87" xfId="0" applyNumberFormat="1" applyFont="1" applyBorder="1" applyAlignment="1" applyProtection="1">
      <alignment/>
      <protection locked="0"/>
    </xf>
    <xf numFmtId="1" fontId="7" fillId="0" borderId="88" xfId="0" applyNumberFormat="1" applyFont="1" applyBorder="1" applyAlignment="1" applyProtection="1">
      <alignment/>
      <protection locked="0"/>
    </xf>
    <xf numFmtId="1" fontId="7" fillId="0" borderId="89" xfId="0" applyNumberFormat="1" applyFont="1" applyBorder="1" applyAlignment="1" applyProtection="1">
      <alignment/>
      <protection locked="0"/>
    </xf>
    <xf numFmtId="1" fontId="7" fillId="0" borderId="90" xfId="0" applyNumberFormat="1" applyFont="1" applyBorder="1" applyAlignment="1" applyProtection="1">
      <alignment/>
      <protection locked="0"/>
    </xf>
    <xf numFmtId="2" fontId="144" fillId="0" borderId="89" xfId="0" applyNumberFormat="1" applyFont="1" applyBorder="1" applyAlignment="1" applyProtection="1">
      <alignment/>
      <protection hidden="1"/>
    </xf>
    <xf numFmtId="2" fontId="144" fillId="0" borderId="91" xfId="0" applyNumberFormat="1" applyFont="1" applyBorder="1" applyAlignment="1" applyProtection="1">
      <alignment/>
      <protection hidden="1"/>
    </xf>
    <xf numFmtId="2" fontId="144" fillId="0" borderId="92" xfId="0" applyNumberFormat="1" applyFont="1" applyBorder="1" applyAlignment="1" applyProtection="1">
      <alignment/>
      <protection hidden="1"/>
    </xf>
    <xf numFmtId="2" fontId="6" fillId="0" borderId="90" xfId="0" applyNumberFormat="1" applyFont="1" applyBorder="1" applyAlignment="1" applyProtection="1">
      <alignment/>
      <protection hidden="1"/>
    </xf>
    <xf numFmtId="1" fontId="7" fillId="0" borderId="93" xfId="0" applyNumberFormat="1" applyFont="1" applyBorder="1" applyAlignment="1" applyProtection="1">
      <alignment/>
      <protection locked="0"/>
    </xf>
    <xf numFmtId="1" fontId="7" fillId="0" borderId="94" xfId="0" applyNumberFormat="1" applyFont="1" applyBorder="1" applyAlignment="1" applyProtection="1">
      <alignment/>
      <protection locked="0"/>
    </xf>
    <xf numFmtId="2" fontId="6" fillId="0" borderId="94" xfId="0" applyNumberFormat="1" applyFont="1" applyBorder="1" applyAlignment="1" applyProtection="1">
      <alignment/>
      <protection hidden="1"/>
    </xf>
    <xf numFmtId="2" fontId="147" fillId="0" borderId="95" xfId="0" applyNumberFormat="1" applyFont="1" applyBorder="1" applyAlignment="1" applyProtection="1">
      <alignment/>
      <protection hidden="1"/>
    </xf>
    <xf numFmtId="2" fontId="147" fillId="0" borderId="96" xfId="0" applyNumberFormat="1" applyFont="1" applyBorder="1" applyAlignment="1" applyProtection="1">
      <alignment/>
      <protection hidden="1"/>
    </xf>
    <xf numFmtId="2" fontId="147" fillId="0" borderId="97" xfId="0" applyNumberFormat="1" applyFont="1" applyBorder="1" applyAlignment="1" applyProtection="1">
      <alignment/>
      <protection hidden="1"/>
    </xf>
    <xf numFmtId="2" fontId="6" fillId="0" borderId="98" xfId="0" applyNumberFormat="1" applyFont="1" applyBorder="1" applyAlignment="1" applyProtection="1">
      <alignment/>
      <protection hidden="1"/>
    </xf>
    <xf numFmtId="2" fontId="6" fillId="0" borderId="88" xfId="0" applyNumberFormat="1" applyFont="1" applyBorder="1" applyAlignment="1" applyProtection="1">
      <alignment/>
      <protection hidden="1"/>
    </xf>
    <xf numFmtId="1" fontId="7" fillId="0" borderId="95" xfId="0" applyNumberFormat="1" applyFont="1" applyBorder="1" applyAlignment="1" applyProtection="1">
      <alignment/>
      <protection locked="0"/>
    </xf>
    <xf numFmtId="1" fontId="7" fillId="0" borderId="98" xfId="0" applyNumberFormat="1" applyFont="1" applyBorder="1" applyAlignment="1" applyProtection="1">
      <alignment/>
      <protection locked="0"/>
    </xf>
    <xf numFmtId="2" fontId="6" fillId="0" borderId="99" xfId="0" applyNumberFormat="1" applyFont="1" applyBorder="1" applyAlignment="1" applyProtection="1">
      <alignment/>
      <protection hidden="1"/>
    </xf>
    <xf numFmtId="1" fontId="139" fillId="38" borderId="82" xfId="0" applyNumberFormat="1" applyFont="1" applyFill="1" applyBorder="1" applyAlignment="1" applyProtection="1">
      <alignment/>
      <protection locked="0"/>
    </xf>
    <xf numFmtId="1" fontId="139" fillId="38" borderId="33" xfId="0" applyNumberFormat="1" applyFont="1" applyFill="1" applyBorder="1" applyAlignment="1" applyProtection="1">
      <alignment/>
      <protection locked="0"/>
    </xf>
    <xf numFmtId="1" fontId="139" fillId="38" borderId="35" xfId="0" applyNumberFormat="1" applyFont="1" applyFill="1" applyBorder="1" applyAlignment="1" applyProtection="1">
      <alignment/>
      <protection locked="0"/>
    </xf>
    <xf numFmtId="1" fontId="139" fillId="38" borderId="30" xfId="0" applyNumberFormat="1" applyFont="1" applyFill="1" applyBorder="1" applyAlignment="1" applyProtection="1">
      <alignment/>
      <protection locked="0"/>
    </xf>
    <xf numFmtId="1" fontId="139" fillId="0" borderId="13" xfId="0" applyNumberFormat="1" applyFont="1" applyBorder="1" applyAlignment="1" applyProtection="1">
      <alignment/>
      <protection locked="0"/>
    </xf>
    <xf numFmtId="1" fontId="139" fillId="0" borderId="23" xfId="0" applyNumberFormat="1" applyFont="1" applyBorder="1" applyAlignment="1" applyProtection="1">
      <alignment/>
      <protection locked="0"/>
    </xf>
    <xf numFmtId="1" fontId="139" fillId="0" borderId="32" xfId="0" applyNumberFormat="1" applyFont="1" applyBorder="1" applyAlignment="1" applyProtection="1">
      <alignment/>
      <protection locked="0"/>
    </xf>
    <xf numFmtId="1" fontId="139" fillId="0" borderId="82" xfId="0" applyNumberFormat="1" applyFont="1" applyBorder="1" applyAlignment="1" applyProtection="1">
      <alignment/>
      <protection locked="0"/>
    </xf>
    <xf numFmtId="1" fontId="139" fillId="0" borderId="33" xfId="0" applyNumberFormat="1" applyFont="1" applyBorder="1" applyAlignment="1" applyProtection="1">
      <alignment/>
      <protection locked="0"/>
    </xf>
    <xf numFmtId="1" fontId="139" fillId="0" borderId="15" xfId="0" applyNumberFormat="1" applyFont="1" applyBorder="1" applyAlignment="1" applyProtection="1">
      <alignment/>
      <protection locked="0"/>
    </xf>
    <xf numFmtId="1" fontId="139" fillId="0" borderId="3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" fontId="7" fillId="0" borderId="82" xfId="0" applyNumberFormat="1" applyFont="1" applyBorder="1" applyAlignment="1" applyProtection="1">
      <alignment/>
      <protection locked="0"/>
    </xf>
    <xf numFmtId="1" fontId="7" fillId="0" borderId="33" xfId="0" applyNumberFormat="1" applyFont="1" applyBorder="1" applyAlignment="1" applyProtection="1">
      <alignment/>
      <protection locked="0"/>
    </xf>
    <xf numFmtId="2" fontId="130" fillId="0" borderId="15" xfId="0" applyNumberFormat="1" applyFont="1" applyBorder="1" applyAlignment="1" applyProtection="1">
      <alignment/>
      <protection hidden="1"/>
    </xf>
    <xf numFmtId="2" fontId="130" fillId="0" borderId="38" xfId="0" applyNumberFormat="1" applyFont="1" applyBorder="1" applyAlignment="1" applyProtection="1">
      <alignment/>
      <protection hidden="1"/>
    </xf>
    <xf numFmtId="2" fontId="130" fillId="0" borderId="22" xfId="0" applyNumberFormat="1" applyFont="1" applyBorder="1" applyAlignment="1" applyProtection="1">
      <alignment/>
      <protection hidden="1"/>
    </xf>
    <xf numFmtId="1" fontId="7" fillId="0" borderId="100" xfId="0" applyNumberFormat="1" applyFont="1" applyBorder="1" applyAlignment="1" applyProtection="1">
      <alignment/>
      <protection locked="0"/>
    </xf>
    <xf numFmtId="1" fontId="7" fillId="0" borderId="101" xfId="0" applyNumberFormat="1" applyFont="1" applyBorder="1" applyAlignment="1" applyProtection="1">
      <alignment/>
      <protection locked="0"/>
    </xf>
    <xf numFmtId="2" fontId="130" fillId="0" borderId="100" xfId="0" applyNumberFormat="1" applyFont="1" applyBorder="1" applyAlignment="1" applyProtection="1">
      <alignment/>
      <protection hidden="1"/>
    </xf>
    <xf numFmtId="2" fontId="130" fillId="0" borderId="102" xfId="0" applyNumberFormat="1" applyFont="1" applyBorder="1" applyAlignment="1" applyProtection="1">
      <alignment/>
      <protection hidden="1"/>
    </xf>
    <xf numFmtId="2" fontId="130" fillId="0" borderId="103" xfId="0" applyNumberFormat="1" applyFont="1" applyBorder="1" applyAlignment="1" applyProtection="1">
      <alignment/>
      <protection hidden="1"/>
    </xf>
    <xf numFmtId="1" fontId="7" fillId="0" borderId="104" xfId="0" applyNumberFormat="1" applyFont="1" applyBorder="1" applyAlignment="1" applyProtection="1">
      <alignment/>
      <protection locked="0"/>
    </xf>
    <xf numFmtId="1" fontId="7" fillId="0" borderId="105" xfId="0" applyNumberFormat="1" applyFont="1" applyBorder="1" applyAlignment="1" applyProtection="1">
      <alignment/>
      <protection locked="0"/>
    </xf>
    <xf numFmtId="2" fontId="130" fillId="0" borderId="104" xfId="0" applyNumberFormat="1" applyFont="1" applyBorder="1" applyAlignment="1" applyProtection="1">
      <alignment/>
      <protection hidden="1"/>
    </xf>
    <xf numFmtId="2" fontId="130" fillId="0" borderId="106" xfId="0" applyNumberFormat="1" applyFont="1" applyBorder="1" applyAlignment="1" applyProtection="1">
      <alignment/>
      <protection hidden="1"/>
    </xf>
    <xf numFmtId="2" fontId="130" fillId="0" borderId="107" xfId="0" applyNumberFormat="1" applyFont="1" applyBorder="1" applyAlignment="1" applyProtection="1">
      <alignment/>
      <protection hidden="1"/>
    </xf>
    <xf numFmtId="2" fontId="23" fillId="0" borderId="100" xfId="0" applyNumberFormat="1" applyFont="1" applyBorder="1" applyAlignment="1" applyProtection="1">
      <alignment/>
      <protection hidden="1"/>
    </xf>
    <xf numFmtId="2" fontId="23" fillId="0" borderId="102" xfId="0" applyNumberFormat="1" applyFont="1" applyBorder="1" applyAlignment="1" applyProtection="1">
      <alignment/>
      <protection hidden="1"/>
    </xf>
    <xf numFmtId="2" fontId="23" fillId="0" borderId="103" xfId="0" applyNumberFormat="1" applyFont="1" applyBorder="1" applyAlignment="1" applyProtection="1">
      <alignment/>
      <protection hidden="1"/>
    </xf>
    <xf numFmtId="2" fontId="6" fillId="0" borderId="101" xfId="0" applyNumberFormat="1" applyFont="1" applyBorder="1" applyAlignment="1" applyProtection="1">
      <alignment/>
      <protection hidden="1"/>
    </xf>
    <xf numFmtId="2" fontId="23" fillId="0" borderId="104" xfId="0" applyNumberFormat="1" applyFont="1" applyBorder="1" applyAlignment="1" applyProtection="1">
      <alignment/>
      <protection hidden="1"/>
    </xf>
    <xf numFmtId="2" fontId="23" fillId="0" borderId="106" xfId="0" applyNumberFormat="1" applyFont="1" applyBorder="1" applyAlignment="1" applyProtection="1">
      <alignment/>
      <protection hidden="1"/>
    </xf>
    <xf numFmtId="2" fontId="23" fillId="0" borderId="107" xfId="0" applyNumberFormat="1" applyFont="1" applyBorder="1" applyAlignment="1" applyProtection="1">
      <alignment/>
      <protection hidden="1"/>
    </xf>
    <xf numFmtId="2" fontId="6" fillId="0" borderId="105" xfId="0" applyNumberFormat="1" applyFont="1" applyBorder="1" applyAlignment="1" applyProtection="1">
      <alignment/>
      <protection hidden="1"/>
    </xf>
    <xf numFmtId="1" fontId="7" fillId="0" borderId="108" xfId="0" applyNumberFormat="1" applyFont="1" applyBorder="1" applyAlignment="1" applyProtection="1">
      <alignment/>
      <protection locked="0"/>
    </xf>
    <xf numFmtId="1" fontId="7" fillId="0" borderId="109" xfId="0" applyNumberFormat="1" applyFont="1" applyBorder="1" applyAlignment="1" applyProtection="1">
      <alignment/>
      <protection locked="0"/>
    </xf>
    <xf numFmtId="0" fontId="139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148" fillId="0" borderId="41" xfId="0" applyNumberFormat="1" applyFont="1" applyBorder="1" applyAlignment="1" applyProtection="1" quotePrefix="1">
      <alignment horizontal="right"/>
      <protection hidden="1"/>
    </xf>
    <xf numFmtId="2" fontId="148" fillId="0" borderId="17" xfId="0" applyNumberFormat="1" applyFont="1" applyBorder="1" applyAlignment="1" applyProtection="1">
      <alignment/>
      <protection hidden="1"/>
    </xf>
    <xf numFmtId="0" fontId="149" fillId="0" borderId="19" xfId="0" applyFont="1" applyBorder="1" applyAlignment="1" applyProtection="1">
      <alignment horizontal="center"/>
      <protection hidden="1"/>
    </xf>
    <xf numFmtId="2" fontId="148" fillId="0" borderId="41" xfId="0" applyNumberFormat="1" applyFont="1" applyBorder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locked="0"/>
    </xf>
    <xf numFmtId="1" fontId="48" fillId="0" borderId="0" xfId="0" applyNumberFormat="1" applyFont="1" applyAlignment="1" applyProtection="1" quotePrefix="1">
      <alignment horizontal="center"/>
      <protection locked="0"/>
    </xf>
    <xf numFmtId="1" fontId="48" fillId="0" borderId="14" xfId="0" applyNumberFormat="1" applyFont="1" applyBorder="1" applyAlignment="1" applyProtection="1" quotePrefix="1">
      <alignment horizontal="center"/>
      <protection locked="0"/>
    </xf>
    <xf numFmtId="2" fontId="4" fillId="0" borderId="14" xfId="0" applyNumberFormat="1" applyFont="1" applyBorder="1" applyAlignment="1" applyProtection="1" quotePrefix="1">
      <alignment horizontal="center"/>
      <protection hidden="1"/>
    </xf>
    <xf numFmtId="2" fontId="4" fillId="0" borderId="12" xfId="0" applyNumberFormat="1" applyFont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Border="1" applyAlignment="1" applyProtection="1">
      <alignment/>
      <protection locked="0"/>
    </xf>
    <xf numFmtId="1" fontId="48" fillId="0" borderId="13" xfId="0" applyNumberFormat="1" applyFont="1" applyBorder="1" applyAlignment="1" applyProtection="1" quotePrefix="1">
      <alignment horizontal="center"/>
      <protection locked="0"/>
    </xf>
    <xf numFmtId="1" fontId="48" fillId="0" borderId="15" xfId="0" applyNumberFormat="1" applyFont="1" applyBorder="1" applyAlignment="1" applyProtection="1" quotePrefix="1">
      <alignment horizontal="center"/>
      <protection locked="0"/>
    </xf>
    <xf numFmtId="2" fontId="4" fillId="0" borderId="15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39" fillId="0" borderId="0" xfId="0" applyNumberFormat="1" applyFont="1" applyAlignment="1" applyProtection="1">
      <alignment horizontal="right"/>
      <protection hidden="1"/>
    </xf>
    <xf numFmtId="0" fontId="148" fillId="0" borderId="0" xfId="0" applyFont="1" applyAlignment="1" applyProtection="1">
      <alignment horizontal="center"/>
      <protection hidden="1"/>
    </xf>
    <xf numFmtId="0" fontId="148" fillId="39" borderId="0" xfId="0" applyFont="1" applyFill="1" applyAlignment="1" applyProtection="1">
      <alignment horizontal="center"/>
      <protection hidden="1"/>
    </xf>
    <xf numFmtId="1" fontId="139" fillId="39" borderId="0" xfId="0" applyNumberFormat="1" applyFont="1" applyFill="1" applyAlignment="1" applyProtection="1">
      <alignment horizontal="right"/>
      <protection locked="0"/>
    </xf>
    <xf numFmtId="0" fontId="139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200" fontId="3" fillId="39" borderId="0" xfId="42" applyNumberFormat="1" applyFont="1" applyFill="1" applyAlignment="1" applyProtection="1">
      <alignment/>
      <protection hidden="1"/>
    </xf>
    <xf numFmtId="0" fontId="138" fillId="0" borderId="0" xfId="0" applyFont="1" applyAlignment="1">
      <alignment/>
    </xf>
    <xf numFmtId="0" fontId="138" fillId="0" borderId="0" xfId="0" applyFont="1" applyAlignment="1">
      <alignment horizontal="center"/>
    </xf>
    <xf numFmtId="0" fontId="138" fillId="0" borderId="16" xfId="0" applyFont="1" applyBorder="1" applyAlignment="1">
      <alignment/>
    </xf>
    <xf numFmtId="0" fontId="141" fillId="0" borderId="0" xfId="0" applyFont="1" applyAlignment="1">
      <alignment/>
    </xf>
    <xf numFmtId="0" fontId="139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50" fillId="0" borderId="14" xfId="0" applyFont="1" applyBorder="1" applyAlignment="1" applyProtection="1" quotePrefix="1">
      <alignment/>
      <protection locked="0"/>
    </xf>
    <xf numFmtId="1" fontId="139" fillId="0" borderId="17" xfId="0" applyNumberFormat="1" applyFont="1" applyBorder="1" applyAlignment="1" applyProtection="1">
      <alignment/>
      <protection locked="0"/>
    </xf>
    <xf numFmtId="2" fontId="23" fillId="0" borderId="17" xfId="0" applyNumberFormat="1" applyFont="1" applyBorder="1" applyAlignment="1" applyProtection="1">
      <alignment horizontal="center"/>
      <protection hidden="1"/>
    </xf>
    <xf numFmtId="2" fontId="23" fillId="0" borderId="1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3" fontId="3" fillId="0" borderId="14" xfId="42" applyFont="1" applyBorder="1" applyAlignment="1">
      <alignment/>
    </xf>
    <xf numFmtId="2" fontId="3" fillId="0" borderId="0" xfId="0" applyNumberFormat="1" applyFont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151" fillId="0" borderId="110" xfId="0" applyFont="1" applyBorder="1" applyAlignment="1">
      <alignment horizontal="left"/>
    </xf>
    <xf numFmtId="0" fontId="2" fillId="0" borderId="110" xfId="0" applyFont="1" applyBorder="1" applyAlignment="1">
      <alignment horizontal="right"/>
    </xf>
    <xf numFmtId="0" fontId="3" fillId="0" borderId="3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39" fillId="0" borderId="14" xfId="0" applyFont="1" applyBorder="1" applyAlignment="1" quotePrefix="1">
      <alignment horizontal="right"/>
    </xf>
    <xf numFmtId="2" fontId="23" fillId="0" borderId="12" xfId="0" applyNumberFormat="1" applyFont="1" applyBorder="1" applyAlignment="1">
      <alignment horizontal="right"/>
    </xf>
    <xf numFmtId="0" fontId="152" fillId="0" borderId="14" xfId="0" applyFont="1" applyBorder="1" applyAlignment="1" applyProtection="1">
      <alignment/>
      <protection locked="0"/>
    </xf>
    <xf numFmtId="0" fontId="139" fillId="4" borderId="20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hidden="1"/>
    </xf>
    <xf numFmtId="2" fontId="3" fillId="0" borderId="12" xfId="0" applyNumberFormat="1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wrapText="1"/>
    </xf>
    <xf numFmtId="0" fontId="153" fillId="0" borderId="0" xfId="0" applyFont="1" applyAlignment="1">
      <alignment/>
    </xf>
    <xf numFmtId="0" fontId="154" fillId="0" borderId="0" xfId="0" applyFont="1" applyAlignment="1">
      <alignment/>
    </xf>
    <xf numFmtId="0" fontId="147" fillId="0" borderId="14" xfId="0" applyFont="1" applyBorder="1" applyAlignment="1" applyProtection="1">
      <alignment/>
      <protection locked="0"/>
    </xf>
    <xf numFmtId="0" fontId="154" fillId="0" borderId="22" xfId="0" applyFont="1" applyBorder="1" applyAlignment="1">
      <alignment/>
    </xf>
    <xf numFmtId="0" fontId="147" fillId="0" borderId="15" xfId="0" applyFont="1" applyBorder="1" applyAlignment="1" applyProtection="1">
      <alignment/>
      <protection locked="0"/>
    </xf>
    <xf numFmtId="2" fontId="23" fillId="0" borderId="13" xfId="0" applyNumberFormat="1" applyFont="1" applyBorder="1" applyAlignment="1" applyProtection="1">
      <alignment/>
      <protection hidden="1"/>
    </xf>
    <xf numFmtId="0" fontId="139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39" fillId="36" borderId="15" xfId="0" applyFont="1" applyFill="1" applyBorder="1" applyAlignment="1" applyProtection="1">
      <alignment/>
      <protection locked="0"/>
    </xf>
    <xf numFmtId="2" fontId="148" fillId="0" borderId="13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39" fillId="36" borderId="15" xfId="0" applyNumberFormat="1" applyFont="1" applyFill="1" applyBorder="1" applyAlignment="1" applyProtection="1">
      <alignment/>
      <protection locked="0"/>
    </xf>
    <xf numFmtId="1" fontId="139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43" fontId="139" fillId="0" borderId="13" xfId="42" applyFont="1" applyBorder="1" applyAlignment="1" applyProtection="1" quotePrefix="1">
      <alignment horizontal="right"/>
      <protection hidden="1"/>
    </xf>
    <xf numFmtId="2" fontId="144" fillId="37" borderId="89" xfId="0" applyNumberFormat="1" applyFont="1" applyFill="1" applyBorder="1" applyAlignment="1" applyProtection="1">
      <alignment/>
      <protection hidden="1"/>
    </xf>
    <xf numFmtId="2" fontId="144" fillId="37" borderId="91" xfId="0" applyNumberFormat="1" applyFont="1" applyFill="1" applyBorder="1" applyAlignment="1" applyProtection="1">
      <alignment/>
      <protection hidden="1"/>
    </xf>
    <xf numFmtId="2" fontId="144" fillId="37" borderId="92" xfId="0" applyNumberFormat="1" applyFont="1" applyFill="1" applyBorder="1" applyAlignment="1" applyProtection="1">
      <alignment/>
      <protection hidden="1"/>
    </xf>
    <xf numFmtId="2" fontId="147" fillId="0" borderId="111" xfId="0" applyNumberFormat="1" applyFont="1" applyBorder="1" applyAlignment="1" applyProtection="1">
      <alignment/>
      <protection hidden="1"/>
    </xf>
    <xf numFmtId="2" fontId="147" fillId="0" borderId="112" xfId="0" applyNumberFormat="1" applyFont="1" applyBorder="1" applyAlignment="1" applyProtection="1">
      <alignment/>
      <protection hidden="1"/>
    </xf>
    <xf numFmtId="2" fontId="147" fillId="0" borderId="113" xfId="0" applyNumberFormat="1" applyFont="1" applyBorder="1" applyAlignment="1" applyProtection="1">
      <alignment/>
      <protection hidden="1"/>
    </xf>
    <xf numFmtId="0" fontId="149" fillId="0" borderId="17" xfId="0" applyFont="1" applyBorder="1" applyAlignment="1" applyProtection="1">
      <alignment horizontal="center"/>
      <protection hidden="1"/>
    </xf>
    <xf numFmtId="2" fontId="148" fillId="0" borderId="17" xfId="0" applyNumberFormat="1" applyFont="1" applyBorder="1" applyAlignment="1" applyProtection="1" quotePrefix="1">
      <alignment horizontal="right"/>
      <protection hidden="1"/>
    </xf>
    <xf numFmtId="2" fontId="155" fillId="0" borderId="15" xfId="0" applyNumberFormat="1" applyFont="1" applyBorder="1" applyAlignment="1" applyProtection="1">
      <alignment/>
      <protection hidden="1"/>
    </xf>
    <xf numFmtId="0" fontId="155" fillId="0" borderId="21" xfId="0" applyFont="1" applyBorder="1" applyAlignment="1" applyProtection="1">
      <alignment/>
      <protection locked="0"/>
    </xf>
    <xf numFmtId="2" fontId="23" fillId="0" borderId="108" xfId="0" applyNumberFormat="1" applyFont="1" applyBorder="1" applyAlignment="1" applyProtection="1">
      <alignment/>
      <protection hidden="1"/>
    </xf>
    <xf numFmtId="2" fontId="23" fillId="0" borderId="114" xfId="0" applyNumberFormat="1" applyFont="1" applyBorder="1" applyAlignment="1" applyProtection="1">
      <alignment/>
      <protection hidden="1"/>
    </xf>
    <xf numFmtId="2" fontId="23" fillId="0" borderId="115" xfId="0" applyNumberFormat="1" applyFont="1" applyBorder="1" applyAlignment="1" applyProtection="1">
      <alignment/>
      <protection hidden="1"/>
    </xf>
    <xf numFmtId="2" fontId="6" fillId="0" borderId="109" xfId="0" applyNumberFormat="1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1" fontId="139" fillId="0" borderId="35" xfId="0" applyNumberFormat="1" applyFont="1" applyBorder="1" applyAlignment="1" applyProtection="1">
      <alignment/>
      <protection locked="0"/>
    </xf>
    <xf numFmtId="1" fontId="139" fillId="0" borderId="30" xfId="0" applyNumberFormat="1" applyFont="1" applyBorder="1" applyAlignment="1" applyProtection="1">
      <alignment/>
      <protection locked="0"/>
    </xf>
    <xf numFmtId="2" fontId="23" fillId="0" borderId="54" xfId="0" applyNumberFormat="1" applyFont="1" applyBorder="1" applyAlignment="1" applyProtection="1">
      <alignment/>
      <protection hidden="1"/>
    </xf>
    <xf numFmtId="2" fontId="6" fillId="0" borderId="39" xfId="0" applyNumberFormat="1" applyFont="1" applyBorder="1" applyAlignment="1" applyProtection="1">
      <alignment/>
      <protection hidden="1"/>
    </xf>
    <xf numFmtId="2" fontId="23" fillId="0" borderId="117" xfId="0" applyNumberFormat="1" applyFont="1" applyBorder="1" applyAlignment="1" applyProtection="1">
      <alignment/>
      <protection hidden="1"/>
    </xf>
    <xf numFmtId="1" fontId="23" fillId="0" borderId="118" xfId="0" applyNumberFormat="1" applyFont="1" applyBorder="1" applyAlignment="1" applyProtection="1">
      <alignment/>
      <protection locked="0"/>
    </xf>
    <xf numFmtId="1" fontId="23" fillId="0" borderId="119" xfId="0" applyNumberFormat="1" applyFont="1" applyBorder="1" applyAlignment="1" applyProtection="1">
      <alignment/>
      <protection locked="0"/>
    </xf>
    <xf numFmtId="43" fontId="139" fillId="0" borderId="17" xfId="42" applyFont="1" applyBorder="1" applyAlignment="1" quotePrefix="1">
      <alignment horizontal="right"/>
    </xf>
    <xf numFmtId="2" fontId="139" fillId="0" borderId="17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 quotePrefix="1">
      <alignment horizontal="right"/>
    </xf>
    <xf numFmtId="194" fontId="137" fillId="0" borderId="13" xfId="0" applyNumberFormat="1" applyFont="1" applyBorder="1" applyAlignment="1">
      <alignment horizontal="left"/>
    </xf>
    <xf numFmtId="2" fontId="137" fillId="7" borderId="17" xfId="0" applyNumberFormat="1" applyFont="1" applyFill="1" applyBorder="1" applyAlignment="1" quotePrefix="1">
      <alignment horizontal="right"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56" fillId="2" borderId="17" xfId="0" applyNumberFormat="1" applyFont="1" applyFill="1" applyBorder="1" applyAlignment="1" applyProtection="1">
      <alignment/>
      <protection hidden="1"/>
    </xf>
    <xf numFmtId="2" fontId="137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194" fontId="139" fillId="3" borderId="0" xfId="0" applyNumberFormat="1" applyFont="1" applyFill="1" applyAlignment="1">
      <alignment/>
    </xf>
    <xf numFmtId="2" fontId="157" fillId="41" borderId="19" xfId="0" applyNumberFormat="1" applyFont="1" applyFill="1" applyBorder="1" applyAlignment="1" applyProtection="1">
      <alignment/>
      <protection hidden="1"/>
    </xf>
    <xf numFmtId="0" fontId="137" fillId="0" borderId="10" xfId="0" applyFont="1" applyBorder="1" applyAlignment="1">
      <alignment horizontal="center"/>
    </xf>
    <xf numFmtId="43" fontId="139" fillId="0" borderId="10" xfId="42" applyFont="1" applyBorder="1" applyAlignment="1" applyProtection="1" quotePrefix="1">
      <alignment horizontal="right"/>
      <protection hidden="1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158" fillId="0" borderId="121" xfId="0" applyFont="1" applyBorder="1" applyAlignment="1">
      <alignment/>
    </xf>
    <xf numFmtId="194" fontId="159" fillId="0" borderId="121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7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37" fillId="0" borderId="14" xfId="0" applyFont="1" applyBorder="1" applyAlignment="1">
      <alignment/>
    </xf>
    <xf numFmtId="0" fontId="160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42" fillId="37" borderId="14" xfId="0" applyFont="1" applyFill="1" applyBorder="1" applyAlignment="1">
      <alignment/>
    </xf>
    <xf numFmtId="0" fontId="139" fillId="0" borderId="14" xfId="0" applyFont="1" applyBorder="1" applyAlignment="1">
      <alignment/>
    </xf>
    <xf numFmtId="0" fontId="142" fillId="37" borderId="2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4" fillId="37" borderId="14" xfId="0" applyFont="1" applyFill="1" applyBorder="1" applyAlignment="1">
      <alignment/>
    </xf>
    <xf numFmtId="1" fontId="3" fillId="0" borderId="28" xfId="0" applyNumberFormat="1" applyFont="1" applyBorder="1" applyAlignment="1" quotePrefix="1">
      <alignment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12" xfId="0" applyFont="1" applyBorder="1" applyAlignment="1" quotePrefix="1">
      <alignment horizontal="left"/>
    </xf>
    <xf numFmtId="0" fontId="133" fillId="0" borderId="12" xfId="0" applyFont="1" applyBorder="1" applyAlignment="1" applyProtection="1" quotePrefix="1">
      <alignment horizontal="center"/>
      <protection locked="0"/>
    </xf>
    <xf numFmtId="0" fontId="133" fillId="0" borderId="21" xfId="0" applyFont="1" applyBorder="1" applyAlignment="1" quotePrefix="1">
      <alignment horizontal="center"/>
    </xf>
    <xf numFmtId="0" fontId="14" fillId="0" borderId="13" xfId="0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right"/>
    </xf>
    <xf numFmtId="0" fontId="3" fillId="0" borderId="21" xfId="0" applyFont="1" applyBorder="1" applyAlignment="1" applyProtection="1" quotePrefix="1">
      <alignment horizontal="left"/>
      <protection locked="0"/>
    </xf>
    <xf numFmtId="0" fontId="161" fillId="0" borderId="0" xfId="0" applyFont="1" applyAlignment="1">
      <alignment horizontal="center"/>
    </xf>
    <xf numFmtId="1" fontId="161" fillId="0" borderId="12" xfId="0" applyNumberFormat="1" applyFont="1" applyBorder="1" applyAlignment="1" applyProtection="1">
      <alignment/>
      <protection hidden="1"/>
    </xf>
    <xf numFmtId="1" fontId="161" fillId="0" borderId="28" xfId="0" applyNumberFormat="1" applyFont="1" applyBorder="1" applyAlignment="1" applyProtection="1" quotePrefix="1">
      <alignment horizontal="center"/>
      <protection hidden="1"/>
    </xf>
    <xf numFmtId="1" fontId="141" fillId="0" borderId="12" xfId="0" applyNumberFormat="1" applyFont="1" applyBorder="1" applyAlignment="1" applyProtection="1">
      <alignment horizontal="right"/>
      <protection hidden="1"/>
    </xf>
    <xf numFmtId="1" fontId="141" fillId="0" borderId="12" xfId="0" applyNumberFormat="1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200" fontId="3" fillId="0" borderId="21" xfId="42" applyNumberFormat="1" applyFont="1" applyBorder="1" applyAlignment="1" applyProtection="1">
      <alignment horizontal="center"/>
      <protection hidden="1"/>
    </xf>
    <xf numFmtId="0" fontId="161" fillId="0" borderId="17" xfId="0" applyFont="1" applyBorder="1" applyAlignment="1">
      <alignment/>
    </xf>
    <xf numFmtId="0" fontId="139" fillId="0" borderId="14" xfId="0" applyFont="1" applyBorder="1" applyAlignment="1" applyProtection="1">
      <alignment/>
      <protection hidden="1"/>
    </xf>
    <xf numFmtId="0" fontId="139" fillId="0" borderId="16" xfId="0" applyFont="1" applyBorder="1" applyAlignment="1">
      <alignment/>
    </xf>
    <xf numFmtId="0" fontId="139" fillId="0" borderId="0" xfId="0" applyFont="1" applyAlignment="1">
      <alignment/>
    </xf>
    <xf numFmtId="200" fontId="161" fillId="0" borderId="124" xfId="42" applyNumberFormat="1" applyFont="1" applyBorder="1" applyAlignment="1">
      <alignment/>
    </xf>
    <xf numFmtId="0" fontId="141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25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3" fontId="3" fillId="0" borderId="126" xfId="42" applyFont="1" applyBorder="1" applyAlignment="1" applyProtection="1">
      <alignment horizontal="left"/>
      <protection hidden="1"/>
    </xf>
    <xf numFmtId="2" fontId="3" fillId="0" borderId="65" xfId="0" applyNumberFormat="1" applyFont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62" fillId="32" borderId="127" xfId="0" applyNumberFormat="1" applyFont="1" applyFill="1" applyBorder="1" applyAlignment="1">
      <alignment/>
    </xf>
    <xf numFmtId="200" fontId="161" fillId="0" borderId="19" xfId="0" applyNumberFormat="1" applyFont="1" applyBorder="1" applyAlignment="1">
      <alignment horizontal="center"/>
    </xf>
    <xf numFmtId="2" fontId="3" fillId="0" borderId="63" xfId="0" applyNumberFormat="1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61" fillId="0" borderId="128" xfId="0" applyNumberFormat="1" applyFont="1" applyBorder="1" applyAlignment="1" applyProtection="1">
      <alignment horizontal="right"/>
      <protection hidden="1"/>
    </xf>
    <xf numFmtId="0" fontId="163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7" fontId="139" fillId="0" borderId="0" xfId="0" applyNumberFormat="1" applyFont="1" applyAlignment="1" applyProtection="1" quotePrefix="1">
      <alignment/>
      <protection hidden="1" locked="0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164" fillId="0" borderId="20" xfId="0" applyFont="1" applyBorder="1" applyAlignment="1">
      <alignment horizontal="center"/>
    </xf>
    <xf numFmtId="0" fontId="164" fillId="0" borderId="17" xfId="0" applyFont="1" applyBorder="1" applyAlignment="1">
      <alignment horizontal="center"/>
    </xf>
    <xf numFmtId="0" fontId="164" fillId="0" borderId="27" xfId="0" applyFont="1" applyBorder="1" applyAlignment="1">
      <alignment horizontal="center"/>
    </xf>
    <xf numFmtId="0" fontId="165" fillId="11" borderId="56" xfId="0" applyFont="1" applyFill="1" applyBorder="1" applyAlignment="1">
      <alignment horizontal="center"/>
    </xf>
    <xf numFmtId="0" fontId="164" fillId="0" borderId="12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201" fontId="0" fillId="39" borderId="130" xfId="42" applyNumberFormat="1" applyFont="1" applyFill="1" applyBorder="1" applyAlignment="1">
      <alignment horizontal="center"/>
    </xf>
    <xf numFmtId="201" fontId="0" fillId="39" borderId="131" xfId="42" applyNumberFormat="1" applyFont="1" applyFill="1" applyBorder="1" applyAlignment="1">
      <alignment horizontal="center"/>
    </xf>
    <xf numFmtId="201" fontId="0" fillId="39" borderId="132" xfId="42" applyNumberFormat="1" applyFont="1" applyFill="1" applyBorder="1" applyAlignment="1">
      <alignment horizontal="center"/>
    </xf>
    <xf numFmtId="201" fontId="0" fillId="7" borderId="133" xfId="42" applyNumberFormat="1" applyFont="1" applyFill="1" applyBorder="1" applyAlignment="1">
      <alignment horizontal="center"/>
    </xf>
    <xf numFmtId="201" fontId="0" fillId="7" borderId="131" xfId="42" applyNumberFormat="1" applyFont="1" applyFill="1" applyBorder="1" applyAlignment="1">
      <alignment horizontal="center"/>
    </xf>
    <xf numFmtId="201" fontId="0" fillId="7" borderId="132" xfId="42" applyNumberFormat="1" applyFont="1" applyFill="1" applyBorder="1" applyAlignment="1">
      <alignment horizontal="center"/>
    </xf>
    <xf numFmtId="201" fontId="0" fillId="2" borderId="134" xfId="42" applyNumberFormat="1" applyFont="1" applyFill="1" applyBorder="1" applyAlignment="1">
      <alignment horizontal="center"/>
    </xf>
    <xf numFmtId="43" fontId="0" fillId="39" borderId="135" xfId="42" applyFont="1" applyFill="1" applyBorder="1" applyAlignment="1">
      <alignment horizontal="center"/>
    </xf>
    <xf numFmtId="0" fontId="0" fillId="0" borderId="136" xfId="0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66" fillId="0" borderId="0" xfId="0" applyFont="1" applyAlignment="1">
      <alignment horizontal="center"/>
    </xf>
    <xf numFmtId="0" fontId="166" fillId="0" borderId="0" xfId="0" applyFont="1" applyAlignment="1" quotePrefix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3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17" xfId="0" applyFont="1" applyBorder="1" applyAlignment="1" applyProtection="1">
      <alignment horizontal="center"/>
      <protection hidden="1"/>
    </xf>
    <xf numFmtId="0" fontId="167" fillId="0" borderId="0" xfId="0" applyFont="1" applyAlignment="1">
      <alignment horizontal="left"/>
    </xf>
    <xf numFmtId="0" fontId="59" fillId="0" borderId="21" xfId="0" applyFont="1" applyBorder="1" applyAlignment="1" applyProtection="1">
      <alignment horizontal="center"/>
      <protection hidden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168" fillId="0" borderId="13" xfId="0" applyFont="1" applyBorder="1" applyAlignment="1" applyProtection="1" quotePrefix="1">
      <alignment horizontal="center"/>
      <protection hidden="1"/>
    </xf>
    <xf numFmtId="0" fontId="169" fillId="0" borderId="21" xfId="0" applyFont="1" applyBorder="1" applyAlignment="1" applyProtection="1">
      <alignment horizontal="center"/>
      <protection hidden="1"/>
    </xf>
    <xf numFmtId="9" fontId="169" fillId="0" borderId="19" xfId="0" applyNumberFormat="1" applyFont="1" applyBorder="1" applyAlignment="1" applyProtection="1">
      <alignment horizontal="center"/>
      <protection hidden="1"/>
    </xf>
    <xf numFmtId="1" fontId="169" fillId="0" borderId="14" xfId="0" applyNumberFormat="1" applyFont="1" applyBorder="1" applyAlignment="1" applyProtection="1">
      <alignment horizontal="center"/>
      <protection hidden="1"/>
    </xf>
    <xf numFmtId="0" fontId="170" fillId="0" borderId="17" xfId="0" applyFont="1" applyBorder="1" applyAlignment="1" applyProtection="1">
      <alignment horizontal="center"/>
      <protection hidden="1"/>
    </xf>
    <xf numFmtId="0" fontId="171" fillId="0" borderId="15" xfId="0" applyFont="1" applyBorder="1" applyAlignment="1" applyProtection="1">
      <alignment horizontal="center"/>
      <protection hidden="1"/>
    </xf>
    <xf numFmtId="0" fontId="171" fillId="0" borderId="15" xfId="0" applyFont="1" applyBorder="1" applyAlignment="1" applyProtection="1" quotePrefix="1">
      <alignment horizontal="center"/>
      <protection hidden="1"/>
    </xf>
    <xf numFmtId="1" fontId="171" fillId="0" borderId="14" xfId="0" applyNumberFormat="1" applyFont="1" applyBorder="1" applyAlignment="1" applyProtection="1">
      <alignment horizontal="center"/>
      <protection hidden="1"/>
    </xf>
    <xf numFmtId="0" fontId="172" fillId="0" borderId="19" xfId="0" applyFont="1" applyBorder="1" applyAlignment="1" applyProtection="1">
      <alignment horizontal="center"/>
      <protection hidden="1"/>
    </xf>
    <xf numFmtId="2" fontId="173" fillId="0" borderId="11" xfId="0" applyNumberFormat="1" applyFont="1" applyBorder="1" applyAlignment="1" applyProtection="1">
      <alignment horizontal="center"/>
      <protection hidden="1"/>
    </xf>
    <xf numFmtId="2" fontId="173" fillId="0" borderId="12" xfId="0" applyNumberFormat="1" applyFont="1" applyBorder="1" applyAlignment="1" applyProtection="1">
      <alignment horizontal="center"/>
      <protection hidden="1"/>
    </xf>
    <xf numFmtId="2" fontId="173" fillId="0" borderId="21" xfId="0" applyNumberFormat="1" applyFont="1" applyBorder="1" applyAlignment="1" applyProtection="1">
      <alignment horizontal="center"/>
      <protection hidden="1"/>
    </xf>
    <xf numFmtId="2" fontId="173" fillId="0" borderId="15" xfId="0" applyNumberFormat="1" applyFont="1" applyBorder="1" applyAlignment="1" applyProtection="1">
      <alignment horizontal="center"/>
      <protection hidden="1"/>
    </xf>
    <xf numFmtId="2" fontId="174" fillId="0" borderId="0" xfId="0" applyNumberFormat="1" applyFont="1" applyAlignment="1" applyProtection="1">
      <alignment horizontal="center"/>
      <protection hidden="1"/>
    </xf>
    <xf numFmtId="2" fontId="174" fillId="0" borderId="20" xfId="0" applyNumberFormat="1" applyFont="1" applyBorder="1" applyAlignment="1" applyProtection="1">
      <alignment horizontal="center"/>
      <protection hidden="1"/>
    </xf>
    <xf numFmtId="17" fontId="139" fillId="0" borderId="0" xfId="0" applyNumberFormat="1" applyFont="1" applyAlignment="1" applyProtection="1" quotePrefix="1">
      <alignment/>
      <protection locked="0"/>
    </xf>
    <xf numFmtId="0" fontId="60" fillId="0" borderId="0" xfId="0" applyFont="1" applyAlignment="1">
      <alignment horizontal="center"/>
    </xf>
    <xf numFmtId="0" fontId="27" fillId="0" borderId="0" xfId="0" applyFont="1" applyAlignment="1" applyProtection="1">
      <alignment/>
      <protection locked="0"/>
    </xf>
    <xf numFmtId="0" fontId="152" fillId="0" borderId="0" xfId="0" applyFont="1" applyAlignment="1" applyProtection="1">
      <alignment/>
      <protection locked="0"/>
    </xf>
    <xf numFmtId="0" fontId="160" fillId="0" borderId="0" xfId="0" applyFont="1" applyAlignment="1" applyProtection="1">
      <alignment/>
      <protection locked="0"/>
    </xf>
    <xf numFmtId="0" fontId="140" fillId="0" borderId="7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7" xfId="0" applyFont="1" applyBorder="1" applyAlignment="1">
      <alignment horizontal="left"/>
    </xf>
    <xf numFmtId="0" fontId="139" fillId="0" borderId="27" xfId="0" applyFont="1" applyBorder="1" applyAlignment="1" applyProtection="1" quotePrefix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 locked="0"/>
    </xf>
    <xf numFmtId="0" fontId="160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39" fillId="4" borderId="11" xfId="0" applyFont="1" applyFill="1" applyBorder="1" applyAlignment="1" applyProtection="1">
      <alignment horizontal="center"/>
      <protection locked="0"/>
    </xf>
    <xf numFmtId="2" fontId="141" fillId="0" borderId="27" xfId="0" applyNumberFormat="1" applyFont="1" applyBorder="1" applyAlignment="1" quotePrefix="1">
      <alignment horizontal="center"/>
    </xf>
    <xf numFmtId="2" fontId="2" fillId="0" borderId="137" xfId="0" applyNumberFormat="1" applyFont="1" applyBorder="1" applyAlignment="1" applyProtection="1">
      <alignment horizontal="center"/>
      <protection locked="0"/>
    </xf>
    <xf numFmtId="0" fontId="2" fillId="0" borderId="138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141" fillId="0" borderId="20" xfId="0" applyFont="1" applyBorder="1" applyAlignment="1">
      <alignment/>
    </xf>
    <xf numFmtId="0" fontId="141" fillId="0" borderId="20" xfId="0" applyFont="1" applyBorder="1" applyAlignment="1">
      <alignment horizontal="right"/>
    </xf>
    <xf numFmtId="2" fontId="141" fillId="0" borderId="128" xfId="0" applyNumberFormat="1" applyFont="1" applyBorder="1" applyAlignment="1" applyProtection="1">
      <alignment horizontal="right"/>
      <protection hidden="1"/>
    </xf>
    <xf numFmtId="0" fontId="141" fillId="0" borderId="17" xfId="0" applyFont="1" applyBorder="1" applyAlignment="1" quotePrefix="1">
      <alignment horizontal="right"/>
    </xf>
    <xf numFmtId="2" fontId="175" fillId="0" borderId="137" xfId="0" applyNumberFormat="1" applyFont="1" applyBorder="1" applyAlignment="1">
      <alignment horizontal="center"/>
    </xf>
    <xf numFmtId="2" fontId="175" fillId="0" borderId="139" xfId="0" applyNumberFormat="1" applyFont="1" applyBorder="1" applyAlignment="1">
      <alignment horizontal="center"/>
    </xf>
    <xf numFmtId="0" fontId="27" fillId="0" borderId="14" xfId="0" applyFont="1" applyBorder="1" applyAlignment="1" applyProtection="1">
      <alignment wrapText="1"/>
      <protection locked="0"/>
    </xf>
    <xf numFmtId="0" fontId="176" fillId="0" borderId="15" xfId="0" applyFont="1" applyBorder="1" applyAlignment="1">
      <alignment/>
    </xf>
    <xf numFmtId="0" fontId="3" fillId="0" borderId="140" xfId="0" applyFont="1" applyBorder="1" applyAlignment="1">
      <alignment/>
    </xf>
    <xf numFmtId="0" fontId="27" fillId="0" borderId="16" xfId="0" applyFont="1" applyBorder="1" applyAlignment="1" applyProtection="1">
      <alignment wrapText="1"/>
      <protection locked="0"/>
    </xf>
    <xf numFmtId="0" fontId="176" fillId="0" borderId="141" xfId="0" applyFont="1" applyBorder="1" applyAlignment="1">
      <alignment/>
    </xf>
    <xf numFmtId="2" fontId="3" fillId="0" borderId="142" xfId="0" applyNumberFormat="1" applyFont="1" applyBorder="1" applyAlignment="1" applyProtection="1">
      <alignment horizontal="right"/>
      <protection hidden="1"/>
    </xf>
    <xf numFmtId="0" fontId="3" fillId="0" borderId="143" xfId="0" applyFont="1" applyBorder="1" applyAlignment="1" applyProtection="1" quotePrefix="1">
      <alignment horizontal="right"/>
      <protection hidden="1"/>
    </xf>
    <xf numFmtId="0" fontId="17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8" fillId="0" borderId="0" xfId="0" applyFont="1" applyAlignment="1">
      <alignment horizontal="center"/>
    </xf>
    <xf numFmtId="0" fontId="179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59" fillId="0" borderId="118" xfId="0" applyFont="1" applyBorder="1" applyAlignment="1" applyProtection="1">
      <alignment horizontal="center"/>
      <protection locked="0"/>
    </xf>
    <xf numFmtId="2" fontId="144" fillId="0" borderId="15" xfId="0" applyNumberFormat="1" applyFont="1" applyBorder="1" applyAlignment="1" applyProtection="1">
      <alignment/>
      <protection hidden="1"/>
    </xf>
    <xf numFmtId="2" fontId="144" fillId="0" borderId="38" xfId="0" applyNumberFormat="1" applyFont="1" applyBorder="1" applyAlignment="1" applyProtection="1">
      <alignment/>
      <protection hidden="1"/>
    </xf>
    <xf numFmtId="2" fontId="144" fillId="0" borderId="22" xfId="0" applyNumberFormat="1" applyFont="1" applyBorder="1" applyAlignment="1" applyProtection="1">
      <alignment/>
      <protection hidden="1"/>
    </xf>
    <xf numFmtId="0" fontId="180" fillId="7" borderId="12" xfId="0" applyFont="1" applyFill="1" applyBorder="1" applyAlignment="1" applyProtection="1">
      <alignment horizontal="center"/>
      <protection locked="0"/>
    </xf>
    <xf numFmtId="0" fontId="180" fillId="7" borderId="21" xfId="0" applyFont="1" applyFill="1" applyBorder="1" applyAlignment="1" applyProtection="1">
      <alignment horizontal="center"/>
      <protection locked="0"/>
    </xf>
    <xf numFmtId="0" fontId="129" fillId="0" borderId="11" xfId="0" applyFont="1" applyBorder="1" applyAlignment="1" quotePrefix="1">
      <alignment horizontal="center"/>
    </xf>
    <xf numFmtId="0" fontId="129" fillId="0" borderId="0" xfId="0" applyFont="1" applyAlignment="1" applyProtection="1" quotePrefix="1">
      <alignment horizontal="center"/>
      <protection hidden="1"/>
    </xf>
    <xf numFmtId="0" fontId="129" fillId="0" borderId="18" xfId="0" applyFont="1" applyBorder="1" applyAlignment="1" applyProtection="1" quotePrefix="1">
      <alignment horizontal="center"/>
      <protection hidden="1"/>
    </xf>
    <xf numFmtId="0" fontId="129" fillId="0" borderId="11" xfId="0" applyFont="1" applyBorder="1" applyAlignment="1" applyProtection="1" quotePrefix="1">
      <alignment horizontal="center"/>
      <protection hidden="1"/>
    </xf>
    <xf numFmtId="0" fontId="59" fillId="0" borderId="19" xfId="0" applyFont="1" applyBorder="1" applyAlignment="1" applyProtection="1">
      <alignment horizontal="center"/>
      <protection hidden="1"/>
    </xf>
    <xf numFmtId="9" fontId="59" fillId="0" borderId="15" xfId="0" applyNumberFormat="1" applyFont="1" applyBorder="1" applyAlignment="1" applyProtection="1">
      <alignment horizontal="center"/>
      <protection hidden="1"/>
    </xf>
    <xf numFmtId="0" fontId="181" fillId="0" borderId="0" xfId="0" applyFont="1" applyAlignment="1">
      <alignment horizontal="left"/>
    </xf>
    <xf numFmtId="0" fontId="17" fillId="0" borderId="20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2" fontId="18" fillId="0" borderId="27" xfId="0" applyNumberFormat="1" applyFont="1" applyBorder="1" applyAlignment="1" applyProtection="1">
      <alignment horizontal="right"/>
      <protection hidden="1"/>
    </xf>
    <xf numFmtId="17" fontId="182" fillId="0" borderId="17" xfId="0" applyNumberFormat="1" applyFont="1" applyBorder="1" applyAlignment="1" applyProtection="1">
      <alignment horizontal="left"/>
      <protection locked="0"/>
    </xf>
    <xf numFmtId="0" fontId="142" fillId="0" borderId="14" xfId="0" applyFont="1" applyBorder="1" applyAlignment="1" applyProtection="1">
      <alignment/>
      <protection locked="0"/>
    </xf>
    <xf numFmtId="2" fontId="23" fillId="0" borderId="14" xfId="0" applyNumberFormat="1" applyFont="1" applyBorder="1" applyAlignment="1" applyProtection="1">
      <alignment/>
      <protection hidden="1"/>
    </xf>
    <xf numFmtId="2" fontId="23" fillId="0" borderId="16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/>
      <protection hidden="1"/>
    </xf>
    <xf numFmtId="2" fontId="23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3" fillId="0" borderId="144" xfId="0" applyFont="1" applyBorder="1" applyAlignment="1">
      <alignment/>
    </xf>
    <xf numFmtId="0" fontId="3" fillId="0" borderId="145" xfId="0" applyFont="1" applyBorder="1" applyAlignment="1">
      <alignment/>
    </xf>
    <xf numFmtId="1" fontId="3" fillId="0" borderId="12" xfId="0" applyNumberFormat="1" applyFont="1" applyBorder="1" applyAlignment="1" applyProtection="1" quotePrefix="1">
      <alignment/>
      <protection hidden="1"/>
    </xf>
    <xf numFmtId="1" fontId="3" fillId="0" borderId="12" xfId="0" applyNumberFormat="1" applyFont="1" applyBorder="1" applyAlignment="1" applyProtection="1" quotePrefix="1">
      <alignment horizontal="center"/>
      <protection hidden="1"/>
    </xf>
    <xf numFmtId="1" fontId="133" fillId="0" borderId="0" xfId="0" applyNumberFormat="1" applyFont="1" applyAlignment="1" quotePrefix="1">
      <alignment horizontal="right"/>
    </xf>
    <xf numFmtId="1" fontId="133" fillId="0" borderId="83" xfId="0" applyNumberFormat="1" applyFont="1" applyBorder="1" applyAlignment="1" applyProtection="1" quotePrefix="1">
      <alignment horizontal="right"/>
      <protection hidden="1"/>
    </xf>
    <xf numFmtId="1" fontId="16" fillId="0" borderId="44" xfId="0" applyNumberFormat="1" applyFont="1" applyBorder="1" applyAlignment="1" applyProtection="1">
      <alignment horizontal="right"/>
      <protection hidden="1"/>
    </xf>
    <xf numFmtId="1" fontId="133" fillId="0" borderId="12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 quotePrefix="1">
      <alignment horizontal="right"/>
      <protection hidden="1"/>
    </xf>
    <xf numFmtId="1" fontId="133" fillId="0" borderId="69" xfId="0" applyNumberFormat="1" applyFont="1" applyBorder="1" applyAlignment="1" applyProtection="1" quotePrefix="1">
      <alignment horizontal="right"/>
      <protection locked="0"/>
    </xf>
    <xf numFmtId="1" fontId="3" fillId="0" borderId="69" xfId="0" applyNumberFormat="1" applyFont="1" applyBorder="1" applyAlignment="1" applyProtection="1" quotePrefix="1">
      <alignment horizontal="right"/>
      <protection hidden="1"/>
    </xf>
    <xf numFmtId="0" fontId="139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32" borderId="1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hidden="1"/>
    </xf>
    <xf numFmtId="2" fontId="2" fillId="32" borderId="21" xfId="0" applyNumberFormat="1" applyFont="1" applyFill="1" applyBorder="1" applyAlignment="1" applyProtection="1">
      <alignment horizontal="right"/>
      <protection hidden="1"/>
    </xf>
    <xf numFmtId="0" fontId="7" fillId="32" borderId="20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2" fillId="32" borderId="19" xfId="0" applyNumberFormat="1" applyFont="1" applyFill="1" applyBorder="1" applyAlignment="1" applyProtection="1">
      <alignment horizontal="right"/>
      <protection hidden="1"/>
    </xf>
    <xf numFmtId="0" fontId="26" fillId="32" borderId="1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/>
    </xf>
    <xf numFmtId="2" fontId="2" fillId="32" borderId="27" xfId="0" applyNumberFormat="1" applyFont="1" applyFill="1" applyBorder="1" applyAlignment="1" applyProtection="1">
      <alignment horizontal="right"/>
      <protection hidden="1"/>
    </xf>
    <xf numFmtId="0" fontId="27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183" fillId="32" borderId="137" xfId="0" applyNumberFormat="1" applyFont="1" applyFill="1" applyBorder="1" applyAlignment="1">
      <alignment horizontal="center"/>
    </xf>
    <xf numFmtId="2" fontId="141" fillId="32" borderId="146" xfId="0" applyNumberFormat="1" applyFont="1" applyFill="1" applyBorder="1" applyAlignment="1" applyProtection="1">
      <alignment horizontal="right"/>
      <protection hidden="1"/>
    </xf>
    <xf numFmtId="0" fontId="141" fillId="32" borderId="147" xfId="0" applyFont="1" applyFill="1" applyBorder="1" applyAlignment="1" quotePrefix="1">
      <alignment horizontal="right"/>
    </xf>
    <xf numFmtId="2" fontId="141" fillId="32" borderId="148" xfId="0" applyNumberFormat="1" applyFont="1" applyFill="1" applyBorder="1" applyAlignment="1">
      <alignment horizontal="right"/>
    </xf>
    <xf numFmtId="0" fontId="163" fillId="32" borderId="17" xfId="0" applyFont="1" applyFill="1" applyBorder="1" applyAlignment="1">
      <alignment/>
    </xf>
    <xf numFmtId="0" fontId="132" fillId="32" borderId="22" xfId="0" applyFont="1" applyFill="1" applyBorder="1" applyAlignment="1">
      <alignment/>
    </xf>
    <xf numFmtId="0" fontId="132" fillId="32" borderId="13" xfId="0" applyFont="1" applyFill="1" applyBorder="1" applyAlignment="1">
      <alignment/>
    </xf>
    <xf numFmtId="0" fontId="132" fillId="32" borderId="15" xfId="0" applyFont="1" applyFill="1" applyBorder="1" applyAlignment="1">
      <alignment horizontal="left"/>
    </xf>
    <xf numFmtId="0" fontId="132" fillId="32" borderId="19" xfId="0" applyFont="1" applyFill="1" applyBorder="1" applyAlignment="1">
      <alignment horizontal="center"/>
    </xf>
    <xf numFmtId="2" fontId="132" fillId="32" borderId="22" xfId="0" applyNumberFormat="1" applyFont="1" applyFill="1" applyBorder="1" applyAlignment="1" applyProtection="1">
      <alignment horizontal="right"/>
      <protection hidden="1"/>
    </xf>
    <xf numFmtId="0" fontId="133" fillId="32" borderId="13" xfId="0" applyFont="1" applyFill="1" applyBorder="1" applyAlignment="1">
      <alignment/>
    </xf>
    <xf numFmtId="17" fontId="36" fillId="0" borderId="13" xfId="0" applyNumberFormat="1" applyFont="1" applyBorder="1" applyAlignment="1" applyProtection="1">
      <alignment horizontal="left"/>
      <protection locked="0"/>
    </xf>
    <xf numFmtId="17" fontId="184" fillId="0" borderId="17" xfId="0" applyNumberFormat="1" applyFont="1" applyBorder="1" applyAlignment="1" applyProtection="1" quotePrefix="1">
      <alignment/>
      <protection hidden="1" locked="0"/>
    </xf>
    <xf numFmtId="0" fontId="4" fillId="0" borderId="17" xfId="0" applyFont="1" applyBorder="1" applyAlignment="1" quotePrefix="1">
      <alignment horizontal="center"/>
    </xf>
    <xf numFmtId="2" fontId="3" fillId="0" borderId="149" xfId="0" applyNumberFormat="1" applyFont="1" applyBorder="1" applyAlignment="1" applyProtection="1">
      <alignment horizontal="right"/>
      <protection hidden="1"/>
    </xf>
    <xf numFmtId="2" fontId="5" fillId="32" borderId="19" xfId="0" applyNumberFormat="1" applyFont="1" applyFill="1" applyBorder="1" applyAlignment="1" applyProtection="1">
      <alignment horizontal="right"/>
      <protection hidden="1"/>
    </xf>
    <xf numFmtId="2" fontId="2" fillId="0" borderId="150" xfId="0" applyNumberFormat="1" applyFont="1" applyBorder="1" applyAlignment="1">
      <alignment horizontal="center"/>
    </xf>
    <xf numFmtId="2" fontId="2" fillId="0" borderId="151" xfId="0" applyNumberFormat="1" applyFont="1" applyBorder="1" applyAlignment="1">
      <alignment horizontal="center"/>
    </xf>
    <xf numFmtId="2" fontId="2" fillId="0" borderId="152" xfId="0" applyNumberFormat="1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153" xfId="0" applyFont="1" applyBorder="1" applyAlignment="1" applyProtection="1">
      <alignment horizontal="center"/>
      <protection hidden="1"/>
    </xf>
    <xf numFmtId="0" fontId="7" fillId="0" borderId="154" xfId="0" applyFont="1" applyBorder="1" applyAlignment="1" applyProtection="1">
      <alignment horizontal="center"/>
      <protection hidden="1"/>
    </xf>
    <xf numFmtId="2" fontId="27" fillId="0" borderId="153" xfId="0" applyNumberFormat="1" applyFont="1" applyBorder="1" applyAlignment="1" applyProtection="1">
      <alignment horizontal="center"/>
      <protection hidden="1"/>
    </xf>
    <xf numFmtId="2" fontId="27" fillId="0" borderId="136" xfId="0" applyNumberFormat="1" applyFont="1" applyBorder="1" applyAlignment="1" applyProtection="1">
      <alignment horizontal="center"/>
      <protection hidden="1"/>
    </xf>
    <xf numFmtId="2" fontId="27" fillId="0" borderId="154" xfId="0" applyNumberFormat="1" applyFont="1" applyBorder="1" applyAlignment="1" applyProtection="1">
      <alignment horizontal="center"/>
      <protection hidden="1"/>
    </xf>
    <xf numFmtId="0" fontId="26" fillId="0" borderId="153" xfId="0" applyFont="1" applyBorder="1" applyAlignment="1" applyProtection="1">
      <alignment horizontal="center"/>
      <protection hidden="1"/>
    </xf>
    <xf numFmtId="0" fontId="26" fillId="0" borderId="154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5" xfId="0" applyFont="1" applyBorder="1" applyAlignment="1" applyProtection="1">
      <alignment horizontal="center"/>
      <protection hidden="1"/>
    </xf>
    <xf numFmtId="0" fontId="3" fillId="0" borderId="156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16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15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/>
      <protection hidden="1"/>
    </xf>
    <xf numFmtId="0" fontId="46" fillId="2" borderId="15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0" fontId="46" fillId="2" borderId="22" xfId="0" applyFont="1" applyFill="1" applyBorder="1" applyAlignment="1">
      <alignment horizontal="center"/>
    </xf>
    <xf numFmtId="0" fontId="60" fillId="0" borderId="0" xfId="0" applyFont="1" applyAlignment="1" applyProtection="1">
      <alignment horizontal="center" wrapText="1"/>
      <protection locked="0"/>
    </xf>
    <xf numFmtId="0" fontId="129" fillId="0" borderId="18" xfId="0" applyFont="1" applyBorder="1" applyAlignment="1">
      <alignment horizontal="center"/>
    </xf>
    <xf numFmtId="0" fontId="129" fillId="0" borderId="10" xfId="0" applyFont="1" applyBorder="1" applyAlignment="1">
      <alignment horizontal="center"/>
    </xf>
    <xf numFmtId="0" fontId="185" fillId="0" borderId="157" xfId="0" applyFont="1" applyBorder="1" applyAlignment="1" applyProtection="1">
      <alignment horizontal="left"/>
      <protection locked="0"/>
    </xf>
    <xf numFmtId="0" fontId="165" fillId="0" borderId="136" xfId="0" applyFont="1" applyBorder="1" applyAlignment="1" applyProtection="1">
      <alignment horizontal="left"/>
      <protection locked="0"/>
    </xf>
    <xf numFmtId="0" fontId="165" fillId="0" borderId="158" xfId="0" applyFont="1" applyBorder="1" applyAlignment="1" applyProtection="1">
      <alignment horizontal="left"/>
      <protection locked="0"/>
    </xf>
    <xf numFmtId="0" fontId="165" fillId="39" borderId="159" xfId="0" applyFont="1" applyFill="1" applyBorder="1" applyAlignment="1">
      <alignment horizontal="center"/>
    </xf>
    <xf numFmtId="0" fontId="165" fillId="39" borderId="13" xfId="0" applyFont="1" applyFill="1" applyBorder="1" applyAlignment="1">
      <alignment horizontal="center"/>
    </xf>
    <xf numFmtId="0" fontId="165" fillId="39" borderId="22" xfId="0" applyFont="1" applyFill="1" applyBorder="1" applyAlignment="1">
      <alignment horizontal="center"/>
    </xf>
    <xf numFmtId="0" fontId="165" fillId="7" borderId="15" xfId="0" applyFont="1" applyFill="1" applyBorder="1" applyAlignment="1">
      <alignment horizontal="center"/>
    </xf>
    <xf numFmtId="0" fontId="165" fillId="7" borderId="13" xfId="0" applyFont="1" applyFill="1" applyBorder="1" applyAlignment="1">
      <alignment horizontal="center"/>
    </xf>
    <xf numFmtId="0" fontId="165" fillId="7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46</xdr:row>
      <xdr:rowOff>114300</xdr:rowOff>
    </xdr:from>
    <xdr:to>
      <xdr:col>5</xdr:col>
      <xdr:colOff>9525</xdr:colOff>
      <xdr:row>47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2133600" y="10134600"/>
          <a:ext cx="1343025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1905000</xdr:colOff>
      <xdr:row>47</xdr:row>
      <xdr:rowOff>9525</xdr:rowOff>
    </xdr:from>
    <xdr:to>
      <xdr:col>6</xdr:col>
      <xdr:colOff>123825</xdr:colOff>
      <xdr:row>48</xdr:row>
      <xdr:rowOff>95250</xdr:rowOff>
    </xdr:to>
    <xdr:sp>
      <xdr:nvSpPr>
        <xdr:cNvPr id="2" name="Straight Arrow Connector 4"/>
        <xdr:cNvSpPr>
          <a:spLocks/>
        </xdr:cNvSpPr>
      </xdr:nvSpPr>
      <xdr:spPr>
        <a:xfrm flipV="1">
          <a:off x="2152650" y="10267950"/>
          <a:ext cx="1828800" cy="30480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11</xdr:row>
      <xdr:rowOff>200025</xdr:rowOff>
    </xdr:from>
    <xdr:to>
      <xdr:col>3</xdr:col>
      <xdr:colOff>438150</xdr:colOff>
      <xdr:row>20</xdr:row>
      <xdr:rowOff>85725</xdr:rowOff>
    </xdr:to>
    <xdr:sp>
      <xdr:nvSpPr>
        <xdr:cNvPr id="1" name="Straight Arrow Connector 2"/>
        <xdr:cNvSpPr>
          <a:spLocks/>
        </xdr:cNvSpPr>
      </xdr:nvSpPr>
      <xdr:spPr>
        <a:xfrm flipV="1">
          <a:off x="2257425" y="3228975"/>
          <a:ext cx="228600" cy="2590800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438150</xdr:colOff>
      <xdr:row>19</xdr:row>
      <xdr:rowOff>171450</xdr:rowOff>
    </xdr:from>
    <xdr:to>
      <xdr:col>7</xdr:col>
      <xdr:colOff>609600</xdr:colOff>
      <xdr:row>20</xdr:row>
      <xdr:rowOff>47625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3105150" y="5638800"/>
          <a:ext cx="2105025" cy="1428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9" ht="21.75" customHeight="1">
      <c r="A1" s="169" t="s">
        <v>305</v>
      </c>
      <c r="B1" s="169"/>
      <c r="C1" s="169"/>
      <c r="D1" s="169"/>
      <c r="E1" s="169"/>
      <c r="F1" s="169"/>
      <c r="G1" s="169"/>
      <c r="H1" s="583" t="s">
        <v>274</v>
      </c>
      <c r="I1" s="1" t="s">
        <v>273</v>
      </c>
    </row>
    <row r="2" spans="1:9" ht="19.5" customHeight="1">
      <c r="A2" s="877" t="s">
        <v>386</v>
      </c>
      <c r="B2" s="877"/>
      <c r="C2" s="877"/>
      <c r="D2" s="877"/>
      <c r="E2" s="877"/>
      <c r="F2" s="877"/>
      <c r="G2" s="877"/>
      <c r="H2" s="413"/>
      <c r="I2" s="758" t="s">
        <v>387</v>
      </c>
    </row>
    <row r="3" spans="1:7" ht="21.75" customHeight="1">
      <c r="A3" s="54" t="s">
        <v>153</v>
      </c>
      <c r="B3" s="381" t="s">
        <v>342</v>
      </c>
      <c r="E3" s="61" t="s">
        <v>176</v>
      </c>
      <c r="F3" s="458" t="s">
        <v>343</v>
      </c>
      <c r="G3" s="518"/>
    </row>
    <row r="4" spans="1:10" ht="16.5" customHeight="1">
      <c r="A4" s="60" t="s">
        <v>394</v>
      </c>
      <c r="B4" s="5"/>
      <c r="C4" s="5"/>
      <c r="D4" s="5"/>
      <c r="E4" s="5"/>
      <c r="F4" s="5"/>
      <c r="G4" s="5"/>
      <c r="H4" s="5"/>
      <c r="I4" s="128"/>
      <c r="J4" s="95"/>
    </row>
    <row r="5" spans="1:10" ht="18" customHeight="1">
      <c r="A5" s="18"/>
      <c r="B5" s="19" t="s">
        <v>0</v>
      </c>
      <c r="C5" s="20" t="s">
        <v>11</v>
      </c>
      <c r="D5" s="13" t="s">
        <v>37</v>
      </c>
      <c r="E5" s="878" t="s">
        <v>5</v>
      </c>
      <c r="F5" s="878"/>
      <c r="G5" s="878"/>
      <c r="H5" s="32" t="s">
        <v>3</v>
      </c>
      <c r="I5" s="22" t="s">
        <v>4</v>
      </c>
      <c r="J5" s="96"/>
    </row>
    <row r="6" spans="1:10" ht="18" customHeight="1">
      <c r="A6" s="18"/>
      <c r="B6" s="23"/>
      <c r="C6" s="24" t="s">
        <v>12</v>
      </c>
      <c r="D6" s="24" t="s">
        <v>7</v>
      </c>
      <c r="E6" s="25" t="s">
        <v>6</v>
      </c>
      <c r="F6" s="17" t="s">
        <v>7</v>
      </c>
      <c r="G6" s="21" t="s">
        <v>8</v>
      </c>
      <c r="H6" s="8"/>
      <c r="I6" s="8"/>
      <c r="J6" s="97"/>
    </row>
    <row r="7" spans="1:10" ht="18" customHeight="1">
      <c r="A7" s="2">
        <v>1</v>
      </c>
      <c r="B7" s="3" t="s">
        <v>1</v>
      </c>
      <c r="C7" s="11"/>
      <c r="D7" s="29"/>
      <c r="E7" s="28"/>
      <c r="F7" s="29"/>
      <c r="G7" s="28"/>
      <c r="H7" s="29"/>
      <c r="I7" s="6"/>
      <c r="J7" s="98"/>
    </row>
    <row r="8" spans="1:10" ht="18" customHeight="1">
      <c r="A8"/>
      <c r="B8" s="4" t="s">
        <v>395</v>
      </c>
      <c r="C8" s="6"/>
      <c r="F8" s="7"/>
      <c r="H8" s="7"/>
      <c r="I8" s="658"/>
      <c r="J8" s="98"/>
    </row>
    <row r="9" spans="1:10" ht="18" customHeight="1">
      <c r="A9">
        <v>1.1</v>
      </c>
      <c r="B9" s="4" t="s">
        <v>67</v>
      </c>
      <c r="C9" s="7"/>
      <c r="E9" s="7"/>
      <c r="F9" s="7"/>
      <c r="H9" s="7"/>
      <c r="I9" s="57"/>
      <c r="J9" s="98"/>
    </row>
    <row r="10" spans="1:10" ht="18" customHeight="1">
      <c r="A10"/>
      <c r="B10" s="4" t="s">
        <v>388</v>
      </c>
      <c r="F10" s="7"/>
      <c r="H10" s="6"/>
      <c r="I10" s="659"/>
      <c r="J10" s="98"/>
    </row>
    <row r="11" spans="1:10" ht="15" customHeight="1">
      <c r="A11"/>
      <c r="B11" s="51" t="s">
        <v>56</v>
      </c>
      <c r="C11" s="480">
        <v>0</v>
      </c>
      <c r="D11" s="481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7" t="s">
        <v>261</v>
      </c>
      <c r="J11" s="98"/>
    </row>
    <row r="12" spans="1:10" ht="15" customHeight="1">
      <c r="A12"/>
      <c r="B12" s="51" t="s">
        <v>53</v>
      </c>
      <c r="C12" s="480">
        <v>0</v>
      </c>
      <c r="D12" s="481">
        <v>0</v>
      </c>
      <c r="E12" s="131">
        <f>+D12*1/15</f>
        <v>0</v>
      </c>
      <c r="F12" s="134">
        <f>+D12/15</f>
        <v>0</v>
      </c>
      <c r="G12" s="135">
        <f>+(D12/15)*(C12-50)/50+(D12/15)</f>
        <v>0</v>
      </c>
      <c r="H12" s="88">
        <f>+E12+F12+G12</f>
        <v>0</v>
      </c>
      <c r="I12" s="57"/>
      <c r="J12" s="98"/>
    </row>
    <row r="13" spans="1:10" ht="15" customHeight="1">
      <c r="A13"/>
      <c r="B13" s="52" t="s">
        <v>15</v>
      </c>
      <c r="C13" s="480">
        <v>0</v>
      </c>
      <c r="D13" s="481">
        <v>0</v>
      </c>
      <c r="E13" s="131">
        <f>+D13*1/15</f>
        <v>0</v>
      </c>
      <c r="F13" s="134">
        <f>+D13/15</f>
        <v>0</v>
      </c>
      <c r="G13" s="135">
        <f>+(D13/15)*(C13-50)/50+(D13/15)</f>
        <v>0</v>
      </c>
      <c r="H13" s="88">
        <f>+E13+F13+G13</f>
        <v>0</v>
      </c>
      <c r="I13" s="111"/>
      <c r="J13" s="98"/>
    </row>
    <row r="14" spans="1:10" ht="15" customHeight="1">
      <c r="A14"/>
      <c r="B14" s="52" t="s">
        <v>16</v>
      </c>
      <c r="C14" s="480">
        <v>0</v>
      </c>
      <c r="D14" s="481">
        <v>0</v>
      </c>
      <c r="E14" s="131">
        <f>+D14*1/15</f>
        <v>0</v>
      </c>
      <c r="F14" s="134">
        <f>+D14/15</f>
        <v>0</v>
      </c>
      <c r="G14" s="135">
        <f>+(D14/15)*(C14-50)/50+(D14/15)</f>
        <v>0</v>
      </c>
      <c r="H14" s="88">
        <f>+E14+F14+G14</f>
        <v>0</v>
      </c>
      <c r="I14" s="58"/>
      <c r="J14" s="98"/>
    </row>
    <row r="15" spans="1:10" ht="15" customHeight="1">
      <c r="A15"/>
      <c r="B15" s="52" t="s">
        <v>57</v>
      </c>
      <c r="C15" s="480">
        <v>0</v>
      </c>
      <c r="D15" s="481">
        <v>0</v>
      </c>
      <c r="E15" s="131">
        <f>+D15*1/15</f>
        <v>0</v>
      </c>
      <c r="F15" s="134">
        <f>+D15/15</f>
        <v>0</v>
      </c>
      <c r="G15" s="135">
        <f>+(D15/15)*(C15-50)/50+(D15/15)</f>
        <v>0</v>
      </c>
      <c r="H15" s="88">
        <f>+E15+F15+G15</f>
        <v>0</v>
      </c>
      <c r="I15" s="58"/>
      <c r="J15" s="98"/>
    </row>
    <row r="16" spans="1:10" ht="15" customHeight="1">
      <c r="A16"/>
      <c r="B16" s="52" t="s">
        <v>58</v>
      </c>
      <c r="C16" s="480">
        <v>0</v>
      </c>
      <c r="D16" s="481">
        <v>0</v>
      </c>
      <c r="E16" s="131">
        <f aca="true" t="shared" si="0" ref="E16:E23">+D16*1/15</f>
        <v>0</v>
      </c>
      <c r="F16" s="134">
        <f aca="true" t="shared" si="1" ref="F16:F23">+D16/15</f>
        <v>0</v>
      </c>
      <c r="G16" s="135">
        <f aca="true" t="shared" si="2" ref="G16:G23">+(D16/15)*(C16-50)/50+(D16/15)</f>
        <v>0</v>
      </c>
      <c r="H16" s="88">
        <f aca="true" t="shared" si="3" ref="H16:H23">+E16+F16+G16</f>
        <v>0</v>
      </c>
      <c r="I16" s="58"/>
      <c r="J16" s="98"/>
    </row>
    <row r="17" spans="1:10" ht="15" customHeight="1">
      <c r="A17"/>
      <c r="B17" s="52" t="s">
        <v>242</v>
      </c>
      <c r="C17" s="480">
        <v>0</v>
      </c>
      <c r="D17" s="481">
        <v>0</v>
      </c>
      <c r="E17" s="131">
        <f t="shared" si="0"/>
        <v>0</v>
      </c>
      <c r="F17" s="134">
        <f t="shared" si="1"/>
        <v>0</v>
      </c>
      <c r="G17" s="135">
        <f t="shared" si="2"/>
        <v>0</v>
      </c>
      <c r="H17" s="88">
        <f t="shared" si="3"/>
        <v>0</v>
      </c>
      <c r="I17" s="58"/>
      <c r="J17" s="98"/>
    </row>
    <row r="18" spans="1:10" ht="15" customHeight="1">
      <c r="A18"/>
      <c r="B18" s="52" t="s">
        <v>243</v>
      </c>
      <c r="C18" s="480">
        <v>0</v>
      </c>
      <c r="D18" s="481">
        <v>0</v>
      </c>
      <c r="E18" s="131">
        <f t="shared" si="0"/>
        <v>0</v>
      </c>
      <c r="F18" s="134">
        <f t="shared" si="1"/>
        <v>0</v>
      </c>
      <c r="G18" s="135">
        <f t="shared" si="2"/>
        <v>0</v>
      </c>
      <c r="H18" s="88">
        <f t="shared" si="3"/>
        <v>0</v>
      </c>
      <c r="I18" s="58"/>
      <c r="J18" s="98"/>
    </row>
    <row r="19" spans="1:10" ht="15" customHeight="1">
      <c r="A19"/>
      <c r="B19" s="52" t="s">
        <v>244</v>
      </c>
      <c r="C19" s="480">
        <v>0</v>
      </c>
      <c r="D19" s="481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245</v>
      </c>
      <c r="C20" s="480">
        <v>0</v>
      </c>
      <c r="D20" s="481">
        <v>0</v>
      </c>
      <c r="E20" s="131">
        <f t="shared" si="0"/>
        <v>0</v>
      </c>
      <c r="F20" s="134">
        <f t="shared" si="1"/>
        <v>0</v>
      </c>
      <c r="G20" s="135">
        <f t="shared" si="2"/>
        <v>0</v>
      </c>
      <c r="H20" s="88">
        <f t="shared" si="3"/>
        <v>0</v>
      </c>
      <c r="I20" s="58"/>
      <c r="J20" s="98"/>
    </row>
    <row r="21" spans="1:10" ht="15" customHeight="1">
      <c r="A21"/>
      <c r="B21" s="52" t="s">
        <v>262</v>
      </c>
      <c r="C21" s="480">
        <v>0</v>
      </c>
      <c r="D21" s="481">
        <v>0</v>
      </c>
      <c r="E21" s="131">
        <f>+D21*1/15</f>
        <v>0</v>
      </c>
      <c r="F21" s="134">
        <f>+D21/15</f>
        <v>0</v>
      </c>
      <c r="G21" s="135">
        <f>+(D21/15)*(C21-50)/50+(D21/15)</f>
        <v>0</v>
      </c>
      <c r="H21" s="88">
        <f>+E21+F21+G21</f>
        <v>0</v>
      </c>
      <c r="I21" s="58"/>
      <c r="J21" s="98"/>
    </row>
    <row r="22" spans="1:10" ht="15" customHeight="1">
      <c r="A22"/>
      <c r="B22" s="52" t="s">
        <v>246</v>
      </c>
      <c r="C22" s="480">
        <v>0</v>
      </c>
      <c r="D22" s="481">
        <v>0</v>
      </c>
      <c r="E22" s="131">
        <f>+D22*1/15</f>
        <v>0</v>
      </c>
      <c r="F22" s="134">
        <f>+D22/15</f>
        <v>0</v>
      </c>
      <c r="G22" s="135">
        <f>+(D22/15)*(C22-50)/50+(D22/15)</f>
        <v>0</v>
      </c>
      <c r="H22" s="88">
        <f>+E22+F22+G22</f>
        <v>0</v>
      </c>
      <c r="I22" s="58"/>
      <c r="J22" s="98"/>
    </row>
    <row r="23" spans="1:10" ht="15" customHeight="1">
      <c r="A23"/>
      <c r="B23" s="52" t="s">
        <v>247</v>
      </c>
      <c r="C23" s="480">
        <v>0</v>
      </c>
      <c r="D23" s="481">
        <v>0</v>
      </c>
      <c r="E23" s="131">
        <f t="shared" si="0"/>
        <v>0</v>
      </c>
      <c r="F23" s="134">
        <f t="shared" si="1"/>
        <v>0</v>
      </c>
      <c r="G23" s="135">
        <f t="shared" si="2"/>
        <v>0</v>
      </c>
      <c r="H23" s="88">
        <f t="shared" si="3"/>
        <v>0</v>
      </c>
      <c r="I23" s="58"/>
      <c r="J23" s="98"/>
    </row>
    <row r="24" spans="1:10" ht="15" customHeight="1">
      <c r="A24"/>
      <c r="B24" s="52" t="s">
        <v>263</v>
      </c>
      <c r="C24" s="480">
        <v>0</v>
      </c>
      <c r="D24" s="481">
        <v>0</v>
      </c>
      <c r="E24" s="131">
        <f>+D24*1/15</f>
        <v>0</v>
      </c>
      <c r="F24" s="134">
        <f>+D24/15</f>
        <v>0</v>
      </c>
      <c r="G24" s="135">
        <f>+(D24/15)*(C24-50)/50+(D24/15)</f>
        <v>0</v>
      </c>
      <c r="H24" s="88">
        <f>+E24+F24+G24</f>
        <v>0</v>
      </c>
      <c r="I24" s="58"/>
      <c r="J24" s="98"/>
    </row>
    <row r="25" spans="1:10" ht="15" customHeight="1">
      <c r="A25" s="170"/>
      <c r="B25" s="53" t="s">
        <v>264</v>
      </c>
      <c r="C25" s="482">
        <v>0</v>
      </c>
      <c r="D25" s="483">
        <v>0</v>
      </c>
      <c r="E25" s="138">
        <f>+D25*1/15</f>
        <v>0</v>
      </c>
      <c r="F25" s="394">
        <f>+D25/15</f>
        <v>0</v>
      </c>
      <c r="G25" s="140">
        <f>+(D25/15)*(C25-50)/50+(D25/15)</f>
        <v>0</v>
      </c>
      <c r="H25" s="89">
        <f>+E25+F25+G25</f>
        <v>0</v>
      </c>
      <c r="I25" s="77"/>
      <c r="J25" s="97"/>
    </row>
    <row r="26" spans="1:10" ht="18" customHeight="1">
      <c r="A26"/>
      <c r="B26" s="13" t="s">
        <v>391</v>
      </c>
      <c r="C26" s="46"/>
      <c r="D26" s="46"/>
      <c r="E26" s="43"/>
      <c r="F26" s="44"/>
      <c r="G26" s="43"/>
      <c r="H26" s="45"/>
      <c r="I26" s="57"/>
      <c r="J26" s="98"/>
    </row>
    <row r="27" spans="1:10" ht="18" customHeight="1">
      <c r="A27"/>
      <c r="B27" s="13" t="s">
        <v>41</v>
      </c>
      <c r="C27" s="46"/>
      <c r="D27" s="46"/>
      <c r="E27" s="43"/>
      <c r="F27" s="43"/>
      <c r="G27" s="43"/>
      <c r="H27" s="45"/>
      <c r="I27" s="57"/>
      <c r="J27" s="98"/>
    </row>
    <row r="28" spans="1:10" ht="18" customHeight="1">
      <c r="A28"/>
      <c r="B28" s="52" t="s">
        <v>17</v>
      </c>
      <c r="C28" s="485">
        <v>0</v>
      </c>
      <c r="D28" s="486">
        <v>0</v>
      </c>
      <c r="E28" s="131">
        <f aca="true" t="shared" si="4" ref="E28:E43">+D28*1/30</f>
        <v>0</v>
      </c>
      <c r="F28" s="132">
        <f aca="true" t="shared" si="5" ref="F28:F43">+D28*2/30</f>
        <v>0</v>
      </c>
      <c r="G28" s="133">
        <f aca="true" t="shared" si="6" ref="G28:G35">+(D28/30)*1*(C28-25)/25+(D28*1/30)</f>
        <v>0</v>
      </c>
      <c r="H28" s="88">
        <f aca="true" t="shared" si="7" ref="H28:H43">+E28+F28+G28</f>
        <v>0</v>
      </c>
      <c r="I28" s="58"/>
      <c r="J28" s="98"/>
    </row>
    <row r="29" spans="1:10" ht="18" customHeight="1">
      <c r="A29"/>
      <c r="B29" s="52" t="s">
        <v>18</v>
      </c>
      <c r="C29" s="487">
        <v>0</v>
      </c>
      <c r="D29" s="488">
        <v>0</v>
      </c>
      <c r="E29" s="131">
        <f t="shared" si="4"/>
        <v>0</v>
      </c>
      <c r="F29" s="132">
        <f t="shared" si="5"/>
        <v>0</v>
      </c>
      <c r="G29" s="133">
        <f t="shared" si="6"/>
        <v>0</v>
      </c>
      <c r="H29" s="88">
        <f t="shared" si="7"/>
        <v>0</v>
      </c>
      <c r="I29" s="57"/>
      <c r="J29" s="98"/>
    </row>
    <row r="30" spans="1:10" ht="18" customHeight="1">
      <c r="A30"/>
      <c r="B30" s="52" t="s">
        <v>19</v>
      </c>
      <c r="C30" s="487">
        <v>0</v>
      </c>
      <c r="D30" s="488">
        <v>0</v>
      </c>
      <c r="E30" s="131">
        <f t="shared" si="4"/>
        <v>0</v>
      </c>
      <c r="F30" s="132">
        <f t="shared" si="5"/>
        <v>0</v>
      </c>
      <c r="G30" s="133">
        <f t="shared" si="6"/>
        <v>0</v>
      </c>
      <c r="H30" s="88">
        <f t="shared" si="7"/>
        <v>0</v>
      </c>
      <c r="I30" s="57"/>
      <c r="J30" s="98"/>
    </row>
    <row r="31" spans="1:10" ht="18" customHeight="1">
      <c r="A31"/>
      <c r="B31" s="52" t="s">
        <v>20</v>
      </c>
      <c r="C31" s="487">
        <v>0</v>
      </c>
      <c r="D31" s="488">
        <v>0</v>
      </c>
      <c r="E31" s="131">
        <f t="shared" si="4"/>
        <v>0</v>
      </c>
      <c r="F31" s="132">
        <f t="shared" si="5"/>
        <v>0</v>
      </c>
      <c r="G31" s="133">
        <f t="shared" si="6"/>
        <v>0</v>
      </c>
      <c r="H31" s="88">
        <f t="shared" si="7"/>
        <v>0</v>
      </c>
      <c r="I31" s="57"/>
      <c r="J31" s="98"/>
    </row>
    <row r="32" spans="1:10" ht="18" customHeight="1">
      <c r="A32"/>
      <c r="B32" s="52" t="s">
        <v>217</v>
      </c>
      <c r="C32" s="487">
        <v>0</v>
      </c>
      <c r="D32" s="488">
        <v>0</v>
      </c>
      <c r="E32" s="131">
        <f>+D32*1/30</f>
        <v>0</v>
      </c>
      <c r="F32" s="132">
        <f>+D32*2/30</f>
        <v>0</v>
      </c>
      <c r="G32" s="133">
        <f t="shared" si="6"/>
        <v>0</v>
      </c>
      <c r="H32" s="88">
        <f>+E32+F32+G32</f>
        <v>0</v>
      </c>
      <c r="I32" s="57"/>
      <c r="J32" s="98"/>
    </row>
    <row r="33" spans="1:10" ht="18" customHeight="1">
      <c r="A33"/>
      <c r="B33" s="52" t="s">
        <v>248</v>
      </c>
      <c r="C33" s="487">
        <v>0</v>
      </c>
      <c r="D33" s="488">
        <v>0</v>
      </c>
      <c r="E33" s="131">
        <f>+D33*1/30</f>
        <v>0</v>
      </c>
      <c r="F33" s="132">
        <f>+D33*2/30</f>
        <v>0</v>
      </c>
      <c r="G33" s="133">
        <f t="shared" si="6"/>
        <v>0</v>
      </c>
      <c r="H33" s="88">
        <f>+E33+F33+G33</f>
        <v>0</v>
      </c>
      <c r="I33" s="57"/>
      <c r="J33" s="98"/>
    </row>
    <row r="34" spans="1:10" ht="18" customHeight="1">
      <c r="A34"/>
      <c r="B34" s="52" t="s">
        <v>249</v>
      </c>
      <c r="C34" s="487">
        <v>0</v>
      </c>
      <c r="D34" s="488">
        <v>0</v>
      </c>
      <c r="E34" s="131">
        <f>+D34*1/30</f>
        <v>0</v>
      </c>
      <c r="F34" s="132">
        <f>+D34*2/30</f>
        <v>0</v>
      </c>
      <c r="G34" s="133">
        <f t="shared" si="6"/>
        <v>0</v>
      </c>
      <c r="H34" s="88">
        <f>+E34+F34+G34</f>
        <v>0</v>
      </c>
      <c r="I34" s="57"/>
      <c r="J34" s="98"/>
    </row>
    <row r="35" spans="1:10" ht="18" customHeight="1">
      <c r="A35"/>
      <c r="B35" s="53" t="s">
        <v>249</v>
      </c>
      <c r="C35" s="624">
        <v>0</v>
      </c>
      <c r="D35" s="625">
        <v>0</v>
      </c>
      <c r="E35" s="136">
        <f>+D35*1/30</f>
        <v>0</v>
      </c>
      <c r="F35" s="142">
        <f>+D35*2/30</f>
        <v>0</v>
      </c>
      <c r="G35" s="588">
        <f t="shared" si="6"/>
        <v>0</v>
      </c>
      <c r="H35" s="448">
        <f>+E35+F35+G35</f>
        <v>0</v>
      </c>
      <c r="I35" s="172"/>
      <c r="J35" s="98"/>
    </row>
    <row r="36" spans="1:10" ht="18" customHeight="1">
      <c r="A36"/>
      <c r="B36" s="430" t="s">
        <v>250</v>
      </c>
      <c r="C36" s="485">
        <v>0</v>
      </c>
      <c r="D36" s="486">
        <v>0</v>
      </c>
      <c r="E36" s="131">
        <f t="shared" si="4"/>
        <v>0</v>
      </c>
      <c r="F36" s="132">
        <f t="shared" si="5"/>
        <v>0</v>
      </c>
      <c r="G36" s="133">
        <f aca="true" t="shared" si="8" ref="G36:G43">+(D36/30)*1*(C36-12)/12+(D36*1/30)</f>
        <v>0</v>
      </c>
      <c r="H36" s="88">
        <f t="shared" si="7"/>
        <v>0</v>
      </c>
      <c r="I36" s="57"/>
      <c r="J36" s="98"/>
    </row>
    <row r="37" spans="1:10" ht="18" customHeight="1">
      <c r="A37"/>
      <c r="B37" s="430" t="s">
        <v>251</v>
      </c>
      <c r="C37" s="487">
        <v>0</v>
      </c>
      <c r="D37" s="488">
        <v>0</v>
      </c>
      <c r="E37" s="131">
        <f>+D37*1/30</f>
        <v>0</v>
      </c>
      <c r="F37" s="132">
        <f>+D37*2/30</f>
        <v>0</v>
      </c>
      <c r="G37" s="133">
        <f t="shared" si="8"/>
        <v>0</v>
      </c>
      <c r="H37" s="88">
        <f>+E37+F37+G37</f>
        <v>0</v>
      </c>
      <c r="I37" s="57"/>
      <c r="J37" s="98"/>
    </row>
    <row r="38" spans="1:10" ht="18" customHeight="1">
      <c r="A38"/>
      <c r="B38" s="430" t="s">
        <v>252</v>
      </c>
      <c r="C38" s="487">
        <v>0</v>
      </c>
      <c r="D38" s="488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/>
      <c r="B39" s="430" t="s">
        <v>253</v>
      </c>
      <c r="C39" s="487">
        <v>0</v>
      </c>
      <c r="D39" s="488">
        <v>0</v>
      </c>
      <c r="E39" s="131">
        <f>+D39*1/30</f>
        <v>0</v>
      </c>
      <c r="F39" s="132">
        <f>+D39*2/30</f>
        <v>0</v>
      </c>
      <c r="G39" s="133">
        <f t="shared" si="8"/>
        <v>0</v>
      </c>
      <c r="H39" s="88">
        <f>+E39+F39+G39</f>
        <v>0</v>
      </c>
      <c r="I39" s="57"/>
      <c r="J39" s="98"/>
    </row>
    <row r="40" spans="1:10" ht="18" customHeight="1">
      <c r="A40"/>
      <c r="B40" s="430" t="s">
        <v>254</v>
      </c>
      <c r="C40" s="487">
        <v>0</v>
      </c>
      <c r="D40" s="488">
        <v>0</v>
      </c>
      <c r="E40" s="131">
        <f t="shared" si="4"/>
        <v>0</v>
      </c>
      <c r="F40" s="132">
        <f t="shared" si="5"/>
        <v>0</v>
      </c>
      <c r="G40" s="133">
        <f t="shared" si="8"/>
        <v>0</v>
      </c>
      <c r="H40" s="88">
        <f t="shared" si="7"/>
        <v>0</v>
      </c>
      <c r="I40" s="57"/>
      <c r="J40" s="98"/>
    </row>
    <row r="41" spans="1:10" ht="18" customHeight="1">
      <c r="A41"/>
      <c r="B41" s="430" t="s">
        <v>255</v>
      </c>
      <c r="C41" s="487">
        <v>0</v>
      </c>
      <c r="D41" s="488">
        <v>0</v>
      </c>
      <c r="E41" s="131">
        <f t="shared" si="4"/>
        <v>0</v>
      </c>
      <c r="F41" s="132">
        <f t="shared" si="5"/>
        <v>0</v>
      </c>
      <c r="G41" s="133">
        <f t="shared" si="8"/>
        <v>0</v>
      </c>
      <c r="H41" s="88">
        <f t="shared" si="7"/>
        <v>0</v>
      </c>
      <c r="I41" s="57"/>
      <c r="J41" s="98"/>
    </row>
    <row r="42" spans="1:10" ht="18" customHeight="1">
      <c r="A42"/>
      <c r="B42" s="430" t="s">
        <v>256</v>
      </c>
      <c r="C42" s="487">
        <v>0</v>
      </c>
      <c r="D42" s="488">
        <v>0</v>
      </c>
      <c r="E42" s="131">
        <f>+D42*1/30</f>
        <v>0</v>
      </c>
      <c r="F42" s="132">
        <f>+D42*2/30</f>
        <v>0</v>
      </c>
      <c r="G42" s="133">
        <f t="shared" si="8"/>
        <v>0</v>
      </c>
      <c r="H42" s="88">
        <f>+E42+F42+G42</f>
        <v>0</v>
      </c>
      <c r="I42" s="57"/>
      <c r="J42" s="98"/>
    </row>
    <row r="43" spans="1:10" ht="18" customHeight="1">
      <c r="A43" s="170"/>
      <c r="B43" s="431" t="s">
        <v>257</v>
      </c>
      <c r="C43" s="484">
        <v>0</v>
      </c>
      <c r="D43" s="415">
        <v>0</v>
      </c>
      <c r="E43" s="138">
        <f t="shared" si="4"/>
        <v>0</v>
      </c>
      <c r="F43" s="139">
        <f t="shared" si="5"/>
        <v>0</v>
      </c>
      <c r="G43" s="432">
        <f t="shared" si="8"/>
        <v>0</v>
      </c>
      <c r="H43" s="89">
        <f t="shared" si="7"/>
        <v>0</v>
      </c>
      <c r="I43" s="172"/>
      <c r="J43" s="97"/>
    </row>
    <row r="44" spans="1:10" ht="21" customHeight="1">
      <c r="A44"/>
      <c r="B44" s="48" t="s">
        <v>288</v>
      </c>
      <c r="C44" s="49"/>
      <c r="D44" s="50"/>
      <c r="E44" s="40"/>
      <c r="F44" s="42"/>
      <c r="G44" s="41"/>
      <c r="H44" s="88"/>
      <c r="I44" s="57"/>
      <c r="J44" s="98"/>
    </row>
    <row r="45" spans="1:10" ht="15.75" customHeight="1">
      <c r="A45"/>
      <c r="B45" s="414" t="s">
        <v>177</v>
      </c>
      <c r="C45" s="486">
        <v>0</v>
      </c>
      <c r="D45" s="490">
        <v>0</v>
      </c>
      <c r="E45" s="433">
        <f>+D45*1/15</f>
        <v>0</v>
      </c>
      <c r="F45" s="143">
        <f>+D45/15</f>
        <v>0</v>
      </c>
      <c r="G45" s="144">
        <f>+(D45/15)*(C45-20)/20+(D45/15)</f>
        <v>0</v>
      </c>
      <c r="H45" s="434">
        <f>+E45+F45+G45</f>
        <v>0</v>
      </c>
      <c r="I45" s="86" t="s">
        <v>293</v>
      </c>
      <c r="J45" s="98"/>
    </row>
    <row r="46" spans="1:10" ht="15.75" customHeight="1" thickBot="1">
      <c r="A46"/>
      <c r="B46" s="414" t="s">
        <v>258</v>
      </c>
      <c r="C46" s="486">
        <v>0</v>
      </c>
      <c r="D46" s="490">
        <v>0</v>
      </c>
      <c r="E46" s="433">
        <f>+D46*1/15</f>
        <v>0</v>
      </c>
      <c r="F46" s="626">
        <f>+D46/15</f>
        <v>0</v>
      </c>
      <c r="G46" s="628">
        <f>+(D46/15)*(C46-20)/20+(D46/15)</f>
        <v>0</v>
      </c>
      <c r="H46" s="434">
        <f>+E46+F46+G46</f>
        <v>0</v>
      </c>
      <c r="I46" s="58"/>
      <c r="J46" s="98"/>
    </row>
    <row r="47" spans="1:10" ht="18.75" customHeight="1" thickBot="1" thickTop="1">
      <c r="A47"/>
      <c r="B47" s="414" t="s">
        <v>289</v>
      </c>
      <c r="C47" s="486"/>
      <c r="D47" s="490"/>
      <c r="E47" s="433"/>
      <c r="F47" s="629">
        <v>2</v>
      </c>
      <c r="G47" s="630">
        <v>2</v>
      </c>
      <c r="H47" s="627"/>
      <c r="I47" s="86" t="s">
        <v>292</v>
      </c>
      <c r="J47" s="98"/>
    </row>
    <row r="48" spans="1:10" ht="17.25" customHeight="1" thickTop="1">
      <c r="A48"/>
      <c r="B48" s="51" t="s">
        <v>291</v>
      </c>
      <c r="C48" s="487">
        <v>0</v>
      </c>
      <c r="D48" s="488">
        <v>0</v>
      </c>
      <c r="E48" s="433">
        <f>+D48*1/15</f>
        <v>0</v>
      </c>
      <c r="F48" s="134">
        <f>+D48/15</f>
        <v>0</v>
      </c>
      <c r="G48" s="135">
        <f>+(D48/15)*(C48-50)/50+(D48/15)</f>
        <v>0</v>
      </c>
      <c r="H48" s="120">
        <f>IF(F47&gt;1,(+E48+F48+G48)*2/F47,0)</f>
        <v>0</v>
      </c>
      <c r="I48" s="86"/>
      <c r="J48" s="98"/>
    </row>
    <row r="49" spans="1:10" ht="17.25" customHeight="1">
      <c r="A49" s="12"/>
      <c r="B49" s="78" t="s">
        <v>290</v>
      </c>
      <c r="C49" s="489">
        <v>0</v>
      </c>
      <c r="D49" s="415">
        <v>0</v>
      </c>
      <c r="E49" s="433">
        <f>+D49*1/15</f>
        <v>0</v>
      </c>
      <c r="F49" s="134">
        <f>+D49/15</f>
        <v>0</v>
      </c>
      <c r="G49" s="144">
        <f>+(D49/15)*(C49-50)/50+(D49/15)</f>
        <v>0</v>
      </c>
      <c r="H49" s="120">
        <f>IF(G47&gt;1,(+E49+F49+G49)*2/G47,0)</f>
        <v>0</v>
      </c>
      <c r="I49" s="179"/>
      <c r="J49" s="98"/>
    </row>
    <row r="50" spans="1:9" ht="6" customHeight="1">
      <c r="A50" s="14"/>
      <c r="B50" s="604"/>
      <c r="C50" s="554"/>
      <c r="D50" s="554"/>
      <c r="E50" s="555"/>
      <c r="F50" s="556"/>
      <c r="G50" s="556"/>
      <c r="H50" s="605"/>
      <c r="I50" s="606"/>
    </row>
    <row r="51" spans="1:10" s="421" customFormat="1" ht="5.25" customHeight="1">
      <c r="A51" s="590"/>
      <c r="B51" s="599"/>
      <c r="C51" s="600"/>
      <c r="D51" s="601"/>
      <c r="E51" s="602"/>
      <c r="F51" s="594"/>
      <c r="G51" s="594"/>
      <c r="H51" s="595"/>
      <c r="I51" s="603"/>
      <c r="J51" s="420"/>
    </row>
    <row r="52" spans="1:10" ht="15.75" customHeight="1">
      <c r="A52" s="18"/>
      <c r="B52" s="23" t="s">
        <v>0</v>
      </c>
      <c r="C52" s="27" t="s">
        <v>11</v>
      </c>
      <c r="D52" s="13" t="s">
        <v>37</v>
      </c>
      <c r="E52" s="880" t="s">
        <v>5</v>
      </c>
      <c r="F52" s="880"/>
      <c r="G52" s="880"/>
      <c r="H52" s="32" t="s">
        <v>3</v>
      </c>
      <c r="I52" s="22" t="s">
        <v>272</v>
      </c>
      <c r="J52" s="98"/>
    </row>
    <row r="53" spans="1:10" ht="15.75" customHeight="1">
      <c r="A53" s="103"/>
      <c r="B53" s="104"/>
      <c r="C53" s="24" t="s">
        <v>12</v>
      </c>
      <c r="D53" s="24" t="s">
        <v>7</v>
      </c>
      <c r="E53" s="25" t="s">
        <v>6</v>
      </c>
      <c r="F53" s="17" t="s">
        <v>7</v>
      </c>
      <c r="G53" s="21" t="s">
        <v>8</v>
      </c>
      <c r="H53" s="8"/>
      <c r="I53" s="8"/>
      <c r="J53" s="98"/>
    </row>
    <row r="54" spans="1:10" ht="18" customHeight="1">
      <c r="A54"/>
      <c r="B54" s="13" t="s">
        <v>178</v>
      </c>
      <c r="C54" s="47"/>
      <c r="D54" s="46"/>
      <c r="E54" s="43"/>
      <c r="F54" s="43"/>
      <c r="G54" s="43"/>
      <c r="H54" s="90"/>
      <c r="I54" s="57"/>
      <c r="J54" s="98"/>
    </row>
    <row r="55" spans="1:10" ht="17.25" customHeight="1">
      <c r="A55"/>
      <c r="B55" s="52" t="s">
        <v>155</v>
      </c>
      <c r="C55" s="485">
        <v>0</v>
      </c>
      <c r="D55" s="486">
        <v>0</v>
      </c>
      <c r="E55" s="131">
        <f aca="true" t="shared" si="9" ref="E55:E61">+D55*2/60</f>
        <v>0</v>
      </c>
      <c r="F55" s="132">
        <f aca="true" t="shared" si="10" ref="F55:F61">+D55*4/60</f>
        <v>0</v>
      </c>
      <c r="G55" s="135">
        <f aca="true" t="shared" si="11" ref="G55:G66">+(D55/60)*3*(C55-8)/8+(D55*3/60)</f>
        <v>0</v>
      </c>
      <c r="H55" s="88">
        <f aca="true" t="shared" si="12" ref="H55:H66">+E55+F55+G55</f>
        <v>0</v>
      </c>
      <c r="I55" s="58"/>
      <c r="J55" s="98"/>
    </row>
    <row r="56" spans="1:10" ht="17.25" customHeight="1">
      <c r="A56"/>
      <c r="B56" s="52" t="s">
        <v>156</v>
      </c>
      <c r="C56" s="487">
        <v>0</v>
      </c>
      <c r="D56" s="488">
        <v>0</v>
      </c>
      <c r="E56" s="131">
        <f t="shared" si="9"/>
        <v>0</v>
      </c>
      <c r="F56" s="132">
        <f t="shared" si="10"/>
        <v>0</v>
      </c>
      <c r="G56" s="135">
        <f t="shared" si="11"/>
        <v>0</v>
      </c>
      <c r="H56" s="88">
        <f t="shared" si="12"/>
        <v>0</v>
      </c>
      <c r="I56" s="58"/>
      <c r="J56" s="98"/>
    </row>
    <row r="57" spans="1:10" ht="17.25" customHeight="1">
      <c r="A57"/>
      <c r="B57" s="55" t="s">
        <v>157</v>
      </c>
      <c r="C57" s="487">
        <v>0</v>
      </c>
      <c r="D57" s="488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/>
      <c r="B58" s="55" t="s">
        <v>42</v>
      </c>
      <c r="C58" s="487">
        <v>0</v>
      </c>
      <c r="D58" s="488">
        <v>0</v>
      </c>
      <c r="E58" s="131">
        <f t="shared" si="9"/>
        <v>0</v>
      </c>
      <c r="F58" s="132">
        <f t="shared" si="10"/>
        <v>0</v>
      </c>
      <c r="G58" s="135">
        <f t="shared" si="11"/>
        <v>0</v>
      </c>
      <c r="H58" s="88">
        <f t="shared" si="12"/>
        <v>0</v>
      </c>
      <c r="I58" s="57"/>
      <c r="J58" s="98"/>
    </row>
    <row r="59" spans="1:10" ht="17.25" customHeight="1">
      <c r="A59"/>
      <c r="B59" s="55" t="s">
        <v>59</v>
      </c>
      <c r="C59" s="487">
        <v>0</v>
      </c>
      <c r="D59" s="488">
        <v>0</v>
      </c>
      <c r="E59" s="131">
        <f t="shared" si="9"/>
        <v>0</v>
      </c>
      <c r="F59" s="132">
        <f t="shared" si="10"/>
        <v>0</v>
      </c>
      <c r="G59" s="135">
        <f>+(D59/60)*3*(C59-8)/8+(D59*3/60)</f>
        <v>0</v>
      </c>
      <c r="H59" s="88">
        <f>+E59+F59+G59</f>
        <v>0</v>
      </c>
      <c r="I59" s="57"/>
      <c r="J59" s="98"/>
    </row>
    <row r="60" spans="1:10" ht="17.25" customHeight="1">
      <c r="A60"/>
      <c r="B60" s="55" t="s">
        <v>259</v>
      </c>
      <c r="C60" s="487">
        <v>0</v>
      </c>
      <c r="D60" s="488">
        <v>0</v>
      </c>
      <c r="E60" s="131">
        <f t="shared" si="9"/>
        <v>0</v>
      </c>
      <c r="F60" s="132">
        <f t="shared" si="10"/>
        <v>0</v>
      </c>
      <c r="G60" s="135">
        <f>+(D60/60)*3*(C60-8)/8+(D60*3/60)</f>
        <v>0</v>
      </c>
      <c r="H60" s="88">
        <f>+E60+F60+G60</f>
        <v>0</v>
      </c>
      <c r="I60" s="57"/>
      <c r="J60" s="98"/>
    </row>
    <row r="61" spans="1:10" ht="17.25" customHeight="1">
      <c r="A61"/>
      <c r="B61" s="55" t="s">
        <v>260</v>
      </c>
      <c r="C61" s="487">
        <v>0</v>
      </c>
      <c r="D61" s="488">
        <v>0</v>
      </c>
      <c r="E61" s="131">
        <f t="shared" si="9"/>
        <v>0</v>
      </c>
      <c r="F61" s="132">
        <f t="shared" si="10"/>
        <v>0</v>
      </c>
      <c r="G61" s="135">
        <f t="shared" si="11"/>
        <v>0</v>
      </c>
      <c r="H61" s="88">
        <f t="shared" si="12"/>
        <v>0</v>
      </c>
      <c r="I61" s="57"/>
      <c r="J61" s="98"/>
    </row>
    <row r="62" spans="1:10" ht="17.25" customHeight="1">
      <c r="A62" s="584" t="s">
        <v>36</v>
      </c>
      <c r="B62" s="585" t="s">
        <v>276</v>
      </c>
      <c r="C62" s="487">
        <v>0</v>
      </c>
      <c r="D62" s="488">
        <v>0</v>
      </c>
      <c r="E62" s="131">
        <v>0</v>
      </c>
      <c r="F62" s="132">
        <v>0</v>
      </c>
      <c r="G62" s="135">
        <f>+(D62/60)*3*(C62-8)/8+(D62*3/60)</f>
        <v>0</v>
      </c>
      <c r="H62" s="88">
        <f>+E62+F62+G62</f>
        <v>0</v>
      </c>
      <c r="I62" s="660" t="s">
        <v>306</v>
      </c>
      <c r="J62" s="98"/>
    </row>
    <row r="63" spans="1:10" ht="17.25" customHeight="1">
      <c r="A63" s="584" t="s">
        <v>36</v>
      </c>
      <c r="B63" s="585" t="s">
        <v>277</v>
      </c>
      <c r="C63" s="487">
        <v>0</v>
      </c>
      <c r="D63" s="488">
        <v>0</v>
      </c>
      <c r="E63" s="131">
        <v>0</v>
      </c>
      <c r="F63" s="132">
        <v>0</v>
      </c>
      <c r="G63" s="135">
        <f>+(D63/60)*3*(C63-8)/8+(D63*3/60)</f>
        <v>0</v>
      </c>
      <c r="H63" s="88">
        <f>+E63+F63+G63</f>
        <v>0</v>
      </c>
      <c r="I63" s="661" t="s">
        <v>68</v>
      </c>
      <c r="J63" s="98"/>
    </row>
    <row r="64" spans="1:10" ht="17.25" customHeight="1">
      <c r="A64" s="584" t="s">
        <v>36</v>
      </c>
      <c r="B64" s="585" t="s">
        <v>278</v>
      </c>
      <c r="C64" s="487">
        <v>0</v>
      </c>
      <c r="D64" s="488">
        <v>0</v>
      </c>
      <c r="E64" s="131">
        <v>0</v>
      </c>
      <c r="F64" s="132">
        <v>0</v>
      </c>
      <c r="G64" s="135">
        <f t="shared" si="11"/>
        <v>0</v>
      </c>
      <c r="H64" s="88">
        <f t="shared" si="12"/>
        <v>0</v>
      </c>
      <c r="I64" s="72"/>
      <c r="J64" s="98"/>
    </row>
    <row r="65" spans="1:10" ht="17.25" customHeight="1">
      <c r="A65" s="584" t="s">
        <v>36</v>
      </c>
      <c r="B65" s="585" t="s">
        <v>279</v>
      </c>
      <c r="C65" s="487">
        <v>0</v>
      </c>
      <c r="D65" s="488">
        <v>0</v>
      </c>
      <c r="E65" s="131">
        <v>0</v>
      </c>
      <c r="F65" s="132">
        <v>0</v>
      </c>
      <c r="G65" s="135">
        <f t="shared" si="11"/>
        <v>0</v>
      </c>
      <c r="H65" s="88">
        <f t="shared" si="12"/>
        <v>0</v>
      </c>
      <c r="I65" s="72"/>
      <c r="J65" s="98"/>
    </row>
    <row r="66" spans="1:10" ht="17.25" customHeight="1">
      <c r="A66" s="586" t="s">
        <v>36</v>
      </c>
      <c r="B66" s="587" t="s">
        <v>280</v>
      </c>
      <c r="C66" s="489">
        <v>0</v>
      </c>
      <c r="D66" s="415">
        <v>0</v>
      </c>
      <c r="E66" s="136">
        <v>0</v>
      </c>
      <c r="F66" s="142">
        <v>0</v>
      </c>
      <c r="G66" s="137">
        <f t="shared" si="11"/>
        <v>0</v>
      </c>
      <c r="H66" s="448">
        <f t="shared" si="12"/>
        <v>0</v>
      </c>
      <c r="I66" s="449"/>
      <c r="J66" s="97"/>
    </row>
    <row r="67" spans="1:10" ht="18" customHeight="1">
      <c r="A67" s="1">
        <v>1.4</v>
      </c>
      <c r="B67" s="186" t="s">
        <v>63</v>
      </c>
      <c r="C67" s="188"/>
      <c r="D67" s="189"/>
      <c r="E67" s="190"/>
      <c r="F67" s="191"/>
      <c r="G67" s="182"/>
      <c r="H67" s="90"/>
      <c r="I67" s="72"/>
      <c r="J67" s="97"/>
    </row>
    <row r="68" spans="2:10" ht="13.5" customHeight="1">
      <c r="B68" s="186"/>
      <c r="C68" s="526" t="s">
        <v>51</v>
      </c>
      <c r="D68" s="527" t="s">
        <v>52</v>
      </c>
      <c r="E68" s="180"/>
      <c r="F68" s="176"/>
      <c r="G68" s="176"/>
      <c r="H68" s="90"/>
      <c r="I68" s="72"/>
      <c r="J68" s="97"/>
    </row>
    <row r="69" spans="2:10" ht="18" customHeight="1">
      <c r="B69" s="528" t="s">
        <v>218</v>
      </c>
      <c r="C69" s="529">
        <v>0</v>
      </c>
      <c r="D69" s="530">
        <v>0</v>
      </c>
      <c r="E69" s="531" t="s">
        <v>2</v>
      </c>
      <c r="F69" s="532" t="s">
        <v>2</v>
      </c>
      <c r="G69" s="532" t="s">
        <v>2</v>
      </c>
      <c r="H69" s="533">
        <f>+C69*D69*0.25</f>
        <v>0</v>
      </c>
      <c r="I69" s="82"/>
      <c r="J69" s="97"/>
    </row>
    <row r="70" spans="1:10" ht="18.75" customHeight="1">
      <c r="A70" s="5"/>
      <c r="B70" s="534" t="s">
        <v>219</v>
      </c>
      <c r="C70" s="535">
        <v>0</v>
      </c>
      <c r="D70" s="536">
        <v>0</v>
      </c>
      <c r="E70" s="537" t="s">
        <v>2</v>
      </c>
      <c r="F70" s="538" t="s">
        <v>2</v>
      </c>
      <c r="G70" s="538" t="s">
        <v>2</v>
      </c>
      <c r="H70" s="539">
        <f>+C70*D70*0.25</f>
        <v>0</v>
      </c>
      <c r="I70" s="449"/>
      <c r="J70" s="97"/>
    </row>
    <row r="71" spans="1:10" ht="18" customHeight="1">
      <c r="A71" s="14"/>
      <c r="B71" s="37" t="s">
        <v>294</v>
      </c>
      <c r="C71" s="171"/>
      <c r="D71" s="171"/>
      <c r="E71" s="171"/>
      <c r="F71" s="171"/>
      <c r="G71" s="171"/>
      <c r="H71" s="91">
        <f>SUM(H11:H70)</f>
        <v>0</v>
      </c>
      <c r="I71" s="59" t="s">
        <v>14</v>
      </c>
      <c r="J71" s="99"/>
    </row>
    <row r="72" spans="1:10" ht="18" customHeight="1">
      <c r="A72" s="14"/>
      <c r="B72" s="452" t="s">
        <v>296</v>
      </c>
      <c r="C72" s="631">
        <f>(SUM(D11:D25)+SUM(D45:D49))/15</f>
        <v>0</v>
      </c>
      <c r="D72" s="631">
        <f>SUM(D28:D43)/30</f>
        <v>0</v>
      </c>
      <c r="E72" s="631">
        <f>SUM(D55:D61)/60</f>
        <v>0</v>
      </c>
      <c r="F72" s="632" t="s">
        <v>295</v>
      </c>
      <c r="G72" s="635">
        <f>C72+D72+E72</f>
        <v>0</v>
      </c>
      <c r="H72" s="633"/>
      <c r="I72" s="634"/>
      <c r="J72" s="98"/>
    </row>
    <row r="73" spans="1:10" ht="4.5" customHeight="1">
      <c r="A73" s="112"/>
      <c r="B73" s="113"/>
      <c r="C73" s="114"/>
      <c r="D73" s="115"/>
      <c r="E73" s="116"/>
      <c r="F73" s="116"/>
      <c r="G73" s="116"/>
      <c r="H73" s="117"/>
      <c r="I73" s="118"/>
      <c r="J73" s="119"/>
    </row>
    <row r="74" spans="1:10" ht="19.5" customHeight="1">
      <c r="A74" s="18"/>
      <c r="B74" s="23" t="s">
        <v>0</v>
      </c>
      <c r="C74" s="100" t="s">
        <v>9</v>
      </c>
      <c r="D74" s="101" t="s">
        <v>37</v>
      </c>
      <c r="E74" s="879" t="s">
        <v>5</v>
      </c>
      <c r="F74" s="879"/>
      <c r="G74" s="879"/>
      <c r="H74" s="102" t="s">
        <v>3</v>
      </c>
      <c r="I74" s="122" t="s">
        <v>286</v>
      </c>
      <c r="J74" s="98"/>
    </row>
    <row r="75" spans="1:10" ht="15.75" customHeight="1">
      <c r="A75" s="103"/>
      <c r="B75" s="104"/>
      <c r="C75" s="105"/>
      <c r="D75" s="105" t="s">
        <v>7</v>
      </c>
      <c r="E75" s="106" t="s">
        <v>6</v>
      </c>
      <c r="F75" s="107" t="s">
        <v>7</v>
      </c>
      <c r="G75" s="108" t="s">
        <v>8</v>
      </c>
      <c r="H75" s="109"/>
      <c r="I75" s="6"/>
      <c r="J75" s="98"/>
    </row>
    <row r="76" spans="1:10" ht="19.5" customHeight="1">
      <c r="A76">
        <v>1.2</v>
      </c>
      <c r="B76" s="26" t="s">
        <v>49</v>
      </c>
      <c r="C76" s="46"/>
      <c r="D76" s="46"/>
      <c r="E76" s="43"/>
      <c r="F76" s="43"/>
      <c r="G76" s="43"/>
      <c r="H76" s="45"/>
      <c r="I76" s="110"/>
      <c r="J76" s="98"/>
    </row>
    <row r="77" spans="1:10" ht="19.5" customHeight="1">
      <c r="A77" s="173" t="s">
        <v>71</v>
      </c>
      <c r="B77" s="27" t="s">
        <v>389</v>
      </c>
      <c r="C77" s="46"/>
      <c r="D77" s="46"/>
      <c r="E77" s="43"/>
      <c r="F77" s="43"/>
      <c r="G77" s="43"/>
      <c r="H77" s="45"/>
      <c r="I77" s="6"/>
      <c r="J77" s="98"/>
    </row>
    <row r="78" spans="1:10" ht="17.25" customHeight="1">
      <c r="A78" s="15"/>
      <c r="B78" s="423" t="s">
        <v>239</v>
      </c>
      <c r="C78" s="463">
        <v>0</v>
      </c>
      <c r="D78" s="464">
        <v>0</v>
      </c>
      <c r="E78" s="609">
        <f>IF(C78&gt;20,(2*D78/15),(C78*(2/20)*D78/15))</f>
        <v>0</v>
      </c>
      <c r="F78" s="610">
        <f aca="true" t="shared" si="13" ref="F78:F84">+D78*1/15</f>
        <v>0</v>
      </c>
      <c r="G78" s="611">
        <f>+(D78/15)*1*(C78-20)/20+(D78*1/15)</f>
        <v>0</v>
      </c>
      <c r="H78" s="468">
        <f aca="true" t="shared" si="14" ref="H78:H84">+E78+F78+G78</f>
        <v>0</v>
      </c>
      <c r="I78" s="662" t="s">
        <v>161</v>
      </c>
      <c r="J78" s="98"/>
    </row>
    <row r="79" spans="1:10" ht="17.25" customHeight="1">
      <c r="A79" s="15"/>
      <c r="B79" s="423" t="s">
        <v>162</v>
      </c>
      <c r="C79" s="469">
        <v>0</v>
      </c>
      <c r="D79" s="470">
        <v>0</v>
      </c>
      <c r="E79" s="609">
        <f>IF(C79&gt;20,(2*D79/15),(C79*(2/20)*D79/15))</f>
        <v>0</v>
      </c>
      <c r="F79" s="610">
        <f t="shared" si="13"/>
        <v>0</v>
      </c>
      <c r="G79" s="611">
        <f>+(D79/15)*1*(C79-20)/20+(D79*1/15)</f>
        <v>0</v>
      </c>
      <c r="H79" s="468">
        <f t="shared" si="14"/>
        <v>0</v>
      </c>
      <c r="I79" s="422"/>
      <c r="J79" s="98"/>
    </row>
    <row r="80" spans="1:10" ht="17.25" customHeight="1">
      <c r="A80"/>
      <c r="B80" s="423" t="s">
        <v>163</v>
      </c>
      <c r="C80" s="469">
        <v>0</v>
      </c>
      <c r="D80" s="470">
        <v>0</v>
      </c>
      <c r="E80" s="465">
        <f>IF(C80&gt;20,(2*D80/15),(C80*(2/20)*D80/15))</f>
        <v>0</v>
      </c>
      <c r="F80" s="466">
        <f t="shared" si="13"/>
        <v>0</v>
      </c>
      <c r="G80" s="467">
        <f>+(D80/15)*1*(C80-20)/20+(D80*1/15)</f>
        <v>0</v>
      </c>
      <c r="H80" s="468">
        <f t="shared" si="14"/>
        <v>0</v>
      </c>
      <c r="I80" s="817"/>
      <c r="J80" s="98"/>
    </row>
    <row r="81" spans="1:10" ht="17.25" customHeight="1">
      <c r="A81"/>
      <c r="B81" s="424" t="s">
        <v>164</v>
      </c>
      <c r="C81" s="477">
        <v>0</v>
      </c>
      <c r="D81" s="478">
        <v>0</v>
      </c>
      <c r="E81" s="472">
        <f>IF(C81&gt;15,(2*D81/15),(C81*(2/15)*D81/15))</f>
        <v>0</v>
      </c>
      <c r="F81" s="473">
        <f t="shared" si="13"/>
        <v>0</v>
      </c>
      <c r="G81" s="474">
        <f>+(D81/15)*1*(C81-15)/15+(D81*1/15)</f>
        <v>0</v>
      </c>
      <c r="H81" s="475">
        <f t="shared" si="14"/>
        <v>0</v>
      </c>
      <c r="I81" s="663" t="s">
        <v>160</v>
      </c>
      <c r="J81" s="98"/>
    </row>
    <row r="82" spans="1:10" ht="17.25" customHeight="1">
      <c r="A82"/>
      <c r="B82" s="424" t="s">
        <v>165</v>
      </c>
      <c r="C82" s="461">
        <v>0</v>
      </c>
      <c r="D82" s="462">
        <v>0</v>
      </c>
      <c r="E82" s="472">
        <f>IF(C82&gt;15,(2*D82/15),(C82*(2/15)*D82/15))</f>
        <v>0</v>
      </c>
      <c r="F82" s="473">
        <f t="shared" si="13"/>
        <v>0</v>
      </c>
      <c r="G82" s="474">
        <f>+(D82/15)*1*(C82-15)/15+(D82*1/15)</f>
        <v>0</v>
      </c>
      <c r="H82" s="475">
        <f t="shared" si="14"/>
        <v>0</v>
      </c>
      <c r="I82" s="422"/>
      <c r="J82" s="98"/>
    </row>
    <row r="83" spans="1:10" ht="17.25" customHeight="1">
      <c r="A83"/>
      <c r="B83" s="424" t="s">
        <v>166</v>
      </c>
      <c r="C83" s="461">
        <v>0</v>
      </c>
      <c r="D83" s="462">
        <v>0</v>
      </c>
      <c r="E83" s="472">
        <f>IF(C83&gt;15,(2*D83/15),(C83*(2/15)*D83/15))</f>
        <v>0</v>
      </c>
      <c r="F83" s="473">
        <f t="shared" si="13"/>
        <v>0</v>
      </c>
      <c r="G83" s="474">
        <f>+(D83/15)*1*(C83-15)/15+(D83*1/15)</f>
        <v>0</v>
      </c>
      <c r="H83" s="475">
        <f t="shared" si="14"/>
        <v>0</v>
      </c>
      <c r="I83" s="422"/>
      <c r="J83" s="98"/>
    </row>
    <row r="84" spans="1:10" ht="17.25" customHeight="1">
      <c r="A84" s="12"/>
      <c r="B84" s="435" t="s">
        <v>167</v>
      </c>
      <c r="C84" s="79">
        <v>0</v>
      </c>
      <c r="D84" s="80">
        <v>0</v>
      </c>
      <c r="E84" s="612">
        <f>IF(C84&gt;15,(2*D84/15),(C84*(2/15)*D84/15))</f>
        <v>0</v>
      </c>
      <c r="F84" s="613">
        <f t="shared" si="13"/>
        <v>0</v>
      </c>
      <c r="G84" s="614">
        <f>+(D84/15)*1*(C84-15)/15+(D84*1/15)</f>
        <v>0</v>
      </c>
      <c r="H84" s="479">
        <f t="shared" si="14"/>
        <v>0</v>
      </c>
      <c r="I84" s="664"/>
      <c r="J84" s="98"/>
    </row>
    <row r="85" spans="1:11" ht="17.25" customHeight="1">
      <c r="A85"/>
      <c r="B85" s="13" t="s">
        <v>392</v>
      </c>
      <c r="C85" s="46"/>
      <c r="D85" s="46"/>
      <c r="E85" s="43"/>
      <c r="F85" s="44"/>
      <c r="G85" s="43"/>
      <c r="H85" s="607"/>
      <c r="I85" s="57"/>
      <c r="J85" s="98"/>
      <c r="K85" s="57"/>
    </row>
    <row r="86" spans="1:11" ht="17.25" customHeight="1">
      <c r="A86"/>
      <c r="B86" s="52" t="s">
        <v>195</v>
      </c>
      <c r="C86" s="491">
        <v>0</v>
      </c>
      <c r="D86" s="492">
        <v>0</v>
      </c>
      <c r="E86" s="131">
        <f>IF(C86&gt;10,(2*D86/30),(C86*(2/10)*D86/30))</f>
        <v>0</v>
      </c>
      <c r="F86" s="132">
        <f>+D86*3/30</f>
        <v>0</v>
      </c>
      <c r="G86" s="135">
        <f>+(D86/30)*1*(C86-10)/10+(D86*1/30)</f>
        <v>0</v>
      </c>
      <c r="H86" s="88">
        <f>+E86+F86+G86</f>
        <v>0</v>
      </c>
      <c r="I86" s="422"/>
      <c r="J86" s="98"/>
      <c r="K86" s="419"/>
    </row>
    <row r="87" spans="1:11" ht="17.25" customHeight="1">
      <c r="A87"/>
      <c r="B87" s="52" t="s">
        <v>196</v>
      </c>
      <c r="C87" s="493">
        <v>0</v>
      </c>
      <c r="D87" s="494">
        <v>0</v>
      </c>
      <c r="E87" s="131">
        <f>IF(C87&gt;10,(2*D87/30),(C87*(2/10)*D87/30))</f>
        <v>0</v>
      </c>
      <c r="F87" s="132">
        <f>+D87*3/30</f>
        <v>0</v>
      </c>
      <c r="G87" s="135">
        <f>+(D87/30)*1*(C87-10)/10+(D87*1/30)</f>
        <v>0</v>
      </c>
      <c r="H87" s="88">
        <f>+E87+F87+G87</f>
        <v>0</v>
      </c>
      <c r="I87" s="422"/>
      <c r="J87" s="98"/>
      <c r="K87" s="418"/>
    </row>
    <row r="88" spans="1:11" ht="17.25" customHeight="1">
      <c r="A88"/>
      <c r="B88" s="53" t="s">
        <v>197</v>
      </c>
      <c r="C88" s="79">
        <v>0</v>
      </c>
      <c r="D88" s="80">
        <v>0</v>
      </c>
      <c r="E88" s="136">
        <f>IF(C88&gt;10,(2*D88/30),(C88*(2/10)*D88/30))</f>
        <v>0</v>
      </c>
      <c r="F88" s="142">
        <f>+D88*3/30</f>
        <v>0</v>
      </c>
      <c r="G88" s="137">
        <f>+(D88/30)*1*(C88-10)/10+(D88*1/30)</f>
        <v>0</v>
      </c>
      <c r="H88" s="89">
        <f>+E88+F88+G88</f>
        <v>0</v>
      </c>
      <c r="I88" s="664"/>
      <c r="J88" s="98"/>
      <c r="K88" s="665"/>
    </row>
    <row r="89" spans="1:10" ht="19.5" customHeight="1">
      <c r="A89"/>
      <c r="B89" s="13" t="s">
        <v>69</v>
      </c>
      <c r="C89" s="46"/>
      <c r="D89" s="46"/>
      <c r="E89" s="43"/>
      <c r="F89" s="44"/>
      <c r="G89" s="43"/>
      <c r="H89" s="90"/>
      <c r="I89" s="6"/>
      <c r="J89" s="98"/>
    </row>
    <row r="90" spans="1:10" ht="16.5" customHeight="1">
      <c r="A90" s="16"/>
      <c r="B90" s="56" t="s">
        <v>200</v>
      </c>
      <c r="C90" s="463">
        <v>0</v>
      </c>
      <c r="D90" s="464">
        <v>0</v>
      </c>
      <c r="E90" s="465">
        <f>IF(C90&gt;5,(4*D90/15),(C90*(4/5)*D90/15))</f>
        <v>0</v>
      </c>
      <c r="F90" s="466">
        <f>+D90*1/15</f>
        <v>0</v>
      </c>
      <c r="G90" s="467">
        <f>+(D90/15)*1*(C90-5)/5+(D90*1/15)</f>
        <v>0</v>
      </c>
      <c r="H90" s="468">
        <f>+E90+F90+G90</f>
        <v>0</v>
      </c>
      <c r="I90" s="666" t="s">
        <v>161</v>
      </c>
      <c r="J90" s="98"/>
    </row>
    <row r="91" spans="1:10" ht="16.5" customHeight="1">
      <c r="A91"/>
      <c r="B91" s="52" t="s">
        <v>199</v>
      </c>
      <c r="C91" s="469">
        <v>0</v>
      </c>
      <c r="D91" s="470">
        <v>0</v>
      </c>
      <c r="E91" s="465">
        <f aca="true" t="shared" si="15" ref="E91:E96">IF(C91&gt;5,(4*D91/15),(C91*(4/5)*D91/15))</f>
        <v>0</v>
      </c>
      <c r="F91" s="466">
        <f aca="true" t="shared" si="16" ref="F91:F96">+D91*1/15</f>
        <v>0</v>
      </c>
      <c r="G91" s="467">
        <f aca="true" t="shared" si="17" ref="G91:G96">+(D91/15)*1*(C91-5)/5+(D91*1/15)</f>
        <v>0</v>
      </c>
      <c r="H91" s="471">
        <f aca="true" t="shared" si="18" ref="H91:H96">+E91+F91+G91</f>
        <v>0</v>
      </c>
      <c r="I91" s="425"/>
      <c r="J91" s="98"/>
    </row>
    <row r="92" spans="1:10" ht="16.5" customHeight="1">
      <c r="A92"/>
      <c r="B92" s="52" t="s">
        <v>201</v>
      </c>
      <c r="C92" s="469">
        <v>0</v>
      </c>
      <c r="D92" s="470">
        <v>0</v>
      </c>
      <c r="E92" s="465">
        <f t="shared" si="15"/>
        <v>0</v>
      </c>
      <c r="F92" s="466">
        <f t="shared" si="16"/>
        <v>0</v>
      </c>
      <c r="G92" s="467">
        <f t="shared" si="17"/>
        <v>0</v>
      </c>
      <c r="H92" s="471">
        <f t="shared" si="18"/>
        <v>0</v>
      </c>
      <c r="I92" s="425"/>
      <c r="J92" s="98"/>
    </row>
    <row r="93" spans="1:10" ht="16.5" customHeight="1">
      <c r="A93"/>
      <c r="B93" s="52" t="s">
        <v>202</v>
      </c>
      <c r="C93" s="459">
        <v>0</v>
      </c>
      <c r="D93" s="460">
        <v>0</v>
      </c>
      <c r="E93" s="465">
        <f t="shared" si="15"/>
        <v>0</v>
      </c>
      <c r="F93" s="466">
        <f t="shared" si="16"/>
        <v>0</v>
      </c>
      <c r="G93" s="467">
        <f t="shared" si="17"/>
        <v>0</v>
      </c>
      <c r="H93" s="475">
        <f t="shared" si="18"/>
        <v>0</v>
      </c>
      <c r="I93" s="663" t="s">
        <v>198</v>
      </c>
      <c r="J93" s="98"/>
    </row>
    <row r="94" spans="1:10" ht="16.5" customHeight="1">
      <c r="A94"/>
      <c r="B94" s="52" t="s">
        <v>203</v>
      </c>
      <c r="C94" s="461">
        <v>0</v>
      </c>
      <c r="D94" s="462">
        <v>0</v>
      </c>
      <c r="E94" s="465">
        <f t="shared" si="15"/>
        <v>0</v>
      </c>
      <c r="F94" s="466">
        <f t="shared" si="16"/>
        <v>0</v>
      </c>
      <c r="G94" s="467">
        <f t="shared" si="17"/>
        <v>0</v>
      </c>
      <c r="H94" s="476">
        <f t="shared" si="18"/>
        <v>0</v>
      </c>
      <c r="I94" s="425"/>
      <c r="J94" s="98"/>
    </row>
    <row r="95" spans="1:10" ht="16.5" customHeight="1">
      <c r="A95"/>
      <c r="B95" s="52" t="s">
        <v>204</v>
      </c>
      <c r="C95" s="461">
        <v>0</v>
      </c>
      <c r="D95" s="462">
        <v>0</v>
      </c>
      <c r="E95" s="465">
        <f t="shared" si="15"/>
        <v>0</v>
      </c>
      <c r="F95" s="466">
        <f t="shared" si="16"/>
        <v>0</v>
      </c>
      <c r="G95" s="467">
        <f t="shared" si="17"/>
        <v>0</v>
      </c>
      <c r="H95" s="476">
        <f t="shared" si="18"/>
        <v>0</v>
      </c>
      <c r="I95" s="425"/>
      <c r="J95" s="98"/>
    </row>
    <row r="96" spans="1:10" ht="16.5" customHeight="1">
      <c r="A96"/>
      <c r="B96" s="53" t="s">
        <v>205</v>
      </c>
      <c r="C96" s="79">
        <v>0</v>
      </c>
      <c r="D96" s="80">
        <v>0</v>
      </c>
      <c r="E96" s="801">
        <f t="shared" si="15"/>
        <v>0</v>
      </c>
      <c r="F96" s="802">
        <f t="shared" si="16"/>
        <v>0</v>
      </c>
      <c r="G96" s="803">
        <f t="shared" si="17"/>
        <v>0</v>
      </c>
      <c r="H96" s="121">
        <f t="shared" si="18"/>
        <v>0</v>
      </c>
      <c r="I96" s="589"/>
      <c r="J96" s="97"/>
    </row>
    <row r="97" spans="1:10" ht="16.5" customHeight="1">
      <c r="A97" s="12"/>
      <c r="B97" s="618" t="s">
        <v>3</v>
      </c>
      <c r="C97" s="79"/>
      <c r="D97" s="80"/>
      <c r="E97" s="588"/>
      <c r="F97" s="588"/>
      <c r="G97" s="588"/>
      <c r="H97" s="617"/>
      <c r="I97" s="427"/>
      <c r="J97" s="98"/>
    </row>
    <row r="98" spans="1:10" s="5" customFormat="1" ht="6" customHeight="1">
      <c r="A98" s="590"/>
      <c r="B98" s="591"/>
      <c r="C98" s="592"/>
      <c r="D98" s="593"/>
      <c r="E98" s="594"/>
      <c r="F98" s="594"/>
      <c r="G98" s="594"/>
      <c r="H98" s="595"/>
      <c r="I98" s="596"/>
      <c r="J98" s="97"/>
    </row>
    <row r="99" spans="1:10" ht="16.5" customHeight="1">
      <c r="A99" s="18"/>
      <c r="B99" s="23" t="s">
        <v>0</v>
      </c>
      <c r="C99" s="100" t="s">
        <v>9</v>
      </c>
      <c r="D99" s="101" t="s">
        <v>37</v>
      </c>
      <c r="E99" s="883" t="s">
        <v>5</v>
      </c>
      <c r="F99" s="884"/>
      <c r="G99" s="885"/>
      <c r="H99" s="102" t="s">
        <v>3</v>
      </c>
      <c r="I99" s="122" t="s">
        <v>287</v>
      </c>
      <c r="J99" s="98"/>
    </row>
    <row r="100" spans="1:10" ht="19.5" customHeight="1">
      <c r="A100" s="103"/>
      <c r="B100" s="104"/>
      <c r="C100" s="105"/>
      <c r="D100" s="105" t="s">
        <v>7</v>
      </c>
      <c r="E100" s="106" t="s">
        <v>6</v>
      </c>
      <c r="F100" s="107" t="s">
        <v>7</v>
      </c>
      <c r="G100" s="108" t="s">
        <v>8</v>
      </c>
      <c r="H100" s="109"/>
      <c r="I100" s="568"/>
      <c r="J100" s="98"/>
    </row>
    <row r="101" spans="1:10" ht="19.5" customHeight="1">
      <c r="A101" s="18"/>
      <c r="B101" s="13" t="s">
        <v>366</v>
      </c>
      <c r="C101" s="636"/>
      <c r="D101" s="100"/>
      <c r="E101" s="637"/>
      <c r="F101" s="637"/>
      <c r="G101" s="638"/>
      <c r="H101" s="45"/>
      <c r="I101" s="57"/>
      <c r="J101" s="98"/>
    </row>
    <row r="102" spans="1:10" ht="17.25" customHeight="1">
      <c r="A102"/>
      <c r="B102" s="13" t="s">
        <v>297</v>
      </c>
      <c r="C102" s="46"/>
      <c r="D102" s="47"/>
      <c r="E102" s="45"/>
      <c r="F102" s="45"/>
      <c r="G102" s="43"/>
      <c r="H102" s="92"/>
      <c r="I102" s="57"/>
      <c r="J102" s="98"/>
    </row>
    <row r="103" spans="1:9" ht="17.25" customHeight="1">
      <c r="A103"/>
      <c r="B103" s="52" t="s">
        <v>55</v>
      </c>
      <c r="C103" s="820">
        <v>0</v>
      </c>
      <c r="D103" s="820">
        <v>0</v>
      </c>
      <c r="E103" s="818">
        <f>IF(C103&gt;5,(2*D103/45),(C103*(2/5)*D103/45))</f>
        <v>0</v>
      </c>
      <c r="F103" s="822">
        <f>+D103*4/45</f>
        <v>0</v>
      </c>
      <c r="G103" s="819">
        <f>+(D103/45)*3*(C103-5)/5+(D103*3/45)</f>
        <v>0</v>
      </c>
      <c r="H103" s="825">
        <f>+E103+F103+G103</f>
        <v>0</v>
      </c>
      <c r="I103" s="419"/>
    </row>
    <row r="104" spans="1:10" ht="17.25" customHeight="1">
      <c r="A104"/>
      <c r="B104" s="826" t="s">
        <v>43</v>
      </c>
      <c r="C104" s="492">
        <v>0</v>
      </c>
      <c r="D104" s="492">
        <v>0</v>
      </c>
      <c r="E104" s="131">
        <f>IF(C104&gt;5,(2*D104/45),(C104*(2/5)*D104/45))</f>
        <v>0</v>
      </c>
      <c r="F104" s="134">
        <f>+D104*4/45</f>
        <v>0</v>
      </c>
      <c r="G104" s="135">
        <f>+(D104/45)*3*(C104-5)/5+(D104*3/45)</f>
        <v>0</v>
      </c>
      <c r="H104" s="88">
        <f>+E104+F104+G104</f>
        <v>0</v>
      </c>
      <c r="I104" s="418"/>
      <c r="J104" s="98"/>
    </row>
    <row r="105" spans="1:10" ht="17.25" customHeight="1">
      <c r="A105"/>
      <c r="B105" s="55" t="s">
        <v>367</v>
      </c>
      <c r="C105" s="820">
        <v>0</v>
      </c>
      <c r="D105" s="821">
        <v>0</v>
      </c>
      <c r="E105" s="822">
        <f>IF(C105&gt;5,(2*D105/60),(C105*(2/5)*D105/60))</f>
        <v>0</v>
      </c>
      <c r="F105" s="823">
        <f>+D105*4/60</f>
        <v>0</v>
      </c>
      <c r="G105" s="822">
        <f>+(D105/60)*3*(C105-5)/5+(D105*3/60)</f>
        <v>0</v>
      </c>
      <c r="H105" s="824">
        <f>+E105+F105+G105</f>
        <v>0</v>
      </c>
      <c r="I105" s="58" t="s">
        <v>368</v>
      </c>
      <c r="J105" s="98"/>
    </row>
    <row r="106" spans="1:10" ht="17.25" customHeight="1">
      <c r="A106" s="12"/>
      <c r="B106" s="53" t="s">
        <v>370</v>
      </c>
      <c r="C106" s="820">
        <v>0</v>
      </c>
      <c r="D106" s="821">
        <v>0</v>
      </c>
      <c r="E106" s="822">
        <f>IF(C106&gt;5,(2*D106/60),(C106*(2/5)*D106/60))</f>
        <v>0</v>
      </c>
      <c r="F106" s="823">
        <f>+D106*4/60</f>
        <v>0</v>
      </c>
      <c r="G106" s="822">
        <f>+(D106/60)*3*(C106-5)/5+(D106*3/60)</f>
        <v>0</v>
      </c>
      <c r="H106" s="824">
        <f>+E106+F106+G106</f>
        <v>0</v>
      </c>
      <c r="I106" s="58" t="s">
        <v>369</v>
      </c>
      <c r="J106" s="98"/>
    </row>
    <row r="107" spans="1:9" ht="17.25" customHeight="1">
      <c r="A107" s="14"/>
      <c r="B107" s="615" t="s">
        <v>298</v>
      </c>
      <c r="C107" s="616"/>
      <c r="D107" s="616"/>
      <c r="E107" s="523"/>
      <c r="F107" s="523"/>
      <c r="G107" s="523"/>
      <c r="H107" s="639">
        <f>SUM(H78:H106)</f>
        <v>0</v>
      </c>
      <c r="I107" s="606"/>
    </row>
    <row r="108" spans="1:9" ht="17.25" customHeight="1">
      <c r="A108" s="12"/>
      <c r="B108" s="456" t="s">
        <v>307</v>
      </c>
      <c r="C108" s="608">
        <f>(SUM(D78:D84)+SUM(D90:D96))/15</f>
        <v>0</v>
      </c>
      <c r="D108" s="608">
        <f>(SUM(D86:D88))/30</f>
        <v>0</v>
      </c>
      <c r="E108" s="608">
        <f>((D103+D104)/45)+((D105+D106)/60)</f>
        <v>0</v>
      </c>
      <c r="F108" s="184" t="s">
        <v>299</v>
      </c>
      <c r="G108" s="640">
        <f>C108+D108+E108</f>
        <v>0</v>
      </c>
      <c r="H108" s="597"/>
      <c r="I108" s="598"/>
    </row>
    <row r="109" spans="1:10" ht="19.5" customHeight="1">
      <c r="A109" s="18"/>
      <c r="B109" s="23" t="s">
        <v>0</v>
      </c>
      <c r="C109" s="100" t="s">
        <v>9</v>
      </c>
      <c r="D109" s="101" t="s">
        <v>37</v>
      </c>
      <c r="E109" s="881" t="s">
        <v>5</v>
      </c>
      <c r="F109" s="879"/>
      <c r="G109" s="882"/>
      <c r="H109" s="569" t="s">
        <v>3</v>
      </c>
      <c r="I109" s="570" t="s">
        <v>281</v>
      </c>
      <c r="J109" s="98"/>
    </row>
    <row r="110" spans="1:10" ht="17.25" customHeight="1">
      <c r="A110" s="103"/>
      <c r="B110" s="104"/>
      <c r="C110" s="105"/>
      <c r="D110" s="105" t="s">
        <v>7</v>
      </c>
      <c r="E110" s="106" t="s">
        <v>6</v>
      </c>
      <c r="F110" s="107" t="s">
        <v>7</v>
      </c>
      <c r="G110" s="108" t="s">
        <v>8</v>
      </c>
      <c r="H110" s="109"/>
      <c r="I110" s="568"/>
      <c r="J110" s="98"/>
    </row>
    <row r="111" spans="1:10" ht="18.75">
      <c r="A111" s="1">
        <v>1.3</v>
      </c>
      <c r="B111" s="186" t="s">
        <v>64</v>
      </c>
      <c r="C111" s="187" t="s">
        <v>48</v>
      </c>
      <c r="D111" s="187" t="s">
        <v>50</v>
      </c>
      <c r="E111" s="180"/>
      <c r="F111" s="178" t="s">
        <v>74</v>
      </c>
      <c r="G111" s="181"/>
      <c r="H111" s="90"/>
      <c r="I111" s="6" t="s">
        <v>139</v>
      </c>
      <c r="J111" s="447"/>
    </row>
    <row r="112" spans="2:10" ht="18.75">
      <c r="B112" s="75" t="s">
        <v>193</v>
      </c>
      <c r="C112" s="81">
        <v>0</v>
      </c>
      <c r="D112" s="81">
        <v>0</v>
      </c>
      <c r="E112" s="180" t="s">
        <v>2</v>
      </c>
      <c r="F112" s="176">
        <f>C112+D112</f>
        <v>0</v>
      </c>
      <c r="G112" s="182" t="s">
        <v>2</v>
      </c>
      <c r="H112" s="90">
        <f>+(C112+D112)*0.07*1</f>
        <v>0</v>
      </c>
      <c r="I112" s="6" t="s">
        <v>140</v>
      </c>
      <c r="J112" s="447"/>
    </row>
    <row r="113" spans="2:10" ht="18.75">
      <c r="B113" s="75" t="s">
        <v>194</v>
      </c>
      <c r="C113" s="81">
        <v>0</v>
      </c>
      <c r="D113" s="81">
        <v>0</v>
      </c>
      <c r="E113" s="180" t="s">
        <v>2</v>
      </c>
      <c r="F113" s="176">
        <f>C113+D113</f>
        <v>0</v>
      </c>
      <c r="G113" s="182" t="s">
        <v>2</v>
      </c>
      <c r="H113" s="90">
        <f>+(C113+D113)*0.07*1</f>
        <v>0</v>
      </c>
      <c r="I113" s="185" t="s">
        <v>70</v>
      </c>
      <c r="J113" s="447"/>
    </row>
    <row r="114" spans="2:10" ht="18.75">
      <c r="B114" s="75" t="s">
        <v>304</v>
      </c>
      <c r="C114" s="81">
        <v>0</v>
      </c>
      <c r="D114" s="81">
        <v>0</v>
      </c>
      <c r="E114" s="180" t="s">
        <v>2</v>
      </c>
      <c r="F114" s="176">
        <f>C114+D114</f>
        <v>0</v>
      </c>
      <c r="G114" s="182" t="s">
        <v>2</v>
      </c>
      <c r="H114" s="90">
        <f>+(C114+D114)*0.07*1</f>
        <v>0</v>
      </c>
      <c r="I114" s="172"/>
      <c r="J114" s="447"/>
    </row>
    <row r="115" spans="1:10" ht="17.25" customHeight="1">
      <c r="A115" s="651"/>
      <c r="B115" s="652" t="s">
        <v>285</v>
      </c>
      <c r="C115" s="653"/>
      <c r="D115" s="653"/>
      <c r="E115" s="654"/>
      <c r="F115" s="654"/>
      <c r="G115" s="655"/>
      <c r="H115" s="656">
        <f>SUM(H112:H114)</f>
        <v>0</v>
      </c>
      <c r="I115" s="657"/>
      <c r="J115" s="447"/>
    </row>
    <row r="116" spans="1:10" ht="19.5" customHeight="1" thickBot="1">
      <c r="A116" s="151"/>
      <c r="B116" s="565" t="s">
        <v>282</v>
      </c>
      <c r="C116" s="453"/>
      <c r="D116" s="453"/>
      <c r="E116" s="454"/>
      <c r="F116" s="454"/>
      <c r="G116" s="454"/>
      <c r="H116" s="455"/>
      <c r="I116" s="566"/>
      <c r="J116" s="130"/>
    </row>
    <row r="117" spans="1:10" s="15" customFormat="1" ht="18.75">
      <c r="A117" s="18"/>
      <c r="B117" s="23" t="s">
        <v>0</v>
      </c>
      <c r="C117" s="100" t="s">
        <v>11</v>
      </c>
      <c r="D117" s="101" t="s">
        <v>37</v>
      </c>
      <c r="E117" s="874" t="s">
        <v>5</v>
      </c>
      <c r="F117" s="875"/>
      <c r="G117" s="876"/>
      <c r="H117" s="102" t="s">
        <v>3</v>
      </c>
      <c r="I117" s="122" t="s">
        <v>266</v>
      </c>
      <c r="J117" s="562"/>
    </row>
    <row r="118" spans="1:10" s="15" customFormat="1" ht="18" customHeight="1">
      <c r="A118" s="103"/>
      <c r="B118" s="104"/>
      <c r="C118" s="105" t="s">
        <v>12</v>
      </c>
      <c r="D118" s="105" t="s">
        <v>181</v>
      </c>
      <c r="E118" s="106" t="s">
        <v>6</v>
      </c>
      <c r="F118" s="107" t="s">
        <v>7</v>
      </c>
      <c r="G118" s="108" t="s">
        <v>8</v>
      </c>
      <c r="H118" s="109"/>
      <c r="I118" s="6"/>
      <c r="J118" s="562"/>
    </row>
    <row r="119" spans="1:10" ht="21.75">
      <c r="A119" s="557" t="s">
        <v>72</v>
      </c>
      <c r="B119" s="201" t="s">
        <v>145</v>
      </c>
      <c r="C119" s="226"/>
      <c r="D119" s="226"/>
      <c r="E119" s="563"/>
      <c r="F119" s="563"/>
      <c r="G119" s="563"/>
      <c r="H119" s="227"/>
      <c r="I119" s="567"/>
      <c r="J119" s="141"/>
    </row>
    <row r="120" spans="1:10" ht="21.75">
      <c r="A120" s="557"/>
      <c r="B120" s="201" t="s">
        <v>390</v>
      </c>
      <c r="C120" s="226"/>
      <c r="D120" s="226"/>
      <c r="E120" s="563"/>
      <c r="F120" s="563"/>
      <c r="G120" s="563"/>
      <c r="H120" s="227"/>
      <c r="I120" s="55"/>
      <c r="J120" s="98"/>
    </row>
    <row r="121" spans="1:10" ht="18.75">
      <c r="A121" s="15"/>
      <c r="B121" s="174" t="s">
        <v>284</v>
      </c>
      <c r="C121" s="498">
        <v>0</v>
      </c>
      <c r="D121" s="499">
        <v>0</v>
      </c>
      <c r="E121" s="500">
        <f>IF(C121&gt;2,(3*D121/15),(C121*(3/2)*D121/15))</f>
        <v>0</v>
      </c>
      <c r="F121" s="501">
        <f>+D121*1/15</f>
        <v>0</v>
      </c>
      <c r="G121" s="502">
        <f>+(D121/15)*1*(C121-2)/2+(D121*1/15)</f>
        <v>0</v>
      </c>
      <c r="H121" s="193">
        <f>(+E121+F121+G121)</f>
        <v>0</v>
      </c>
      <c r="I121" s="57" t="s">
        <v>179</v>
      </c>
      <c r="J121" s="98">
        <f>12*1.7</f>
        <v>20.4</v>
      </c>
    </row>
    <row r="122" spans="1:10" ht="18.75">
      <c r="A122" s="15"/>
      <c r="B122" s="174" t="s">
        <v>158</v>
      </c>
      <c r="C122" s="503">
        <v>0</v>
      </c>
      <c r="D122" s="504">
        <v>0</v>
      </c>
      <c r="E122" s="505">
        <f>IF(C122&gt;2,(3*D122/15),(C122*(3/2)*D122/15))</f>
        <v>0</v>
      </c>
      <c r="F122" s="506">
        <f>+D122*1/15</f>
        <v>0</v>
      </c>
      <c r="G122" s="507">
        <f>+(D122/15)*1*(C122-2)/2+(D122*1/15)</f>
        <v>0</v>
      </c>
      <c r="H122" s="193">
        <f>(+E122+F122+G122)</f>
        <v>0</v>
      </c>
      <c r="I122" s="57"/>
      <c r="J122" s="97"/>
    </row>
    <row r="123" spans="1:10" s="15" customFormat="1" ht="21.75">
      <c r="A123"/>
      <c r="B123" s="174" t="s">
        <v>159</v>
      </c>
      <c r="C123" s="503">
        <v>0</v>
      </c>
      <c r="D123" s="504">
        <v>0</v>
      </c>
      <c r="E123" s="505">
        <f>IF(C123&gt;2,(3*D123/15),(C123*(3/2)*D123/15))</f>
        <v>0</v>
      </c>
      <c r="F123" s="506">
        <f>+D123*1/15</f>
        <v>0</v>
      </c>
      <c r="G123" s="507">
        <f>+(D123/15)*1*(C123-2)/2+(D123*1/15)</f>
        <v>0</v>
      </c>
      <c r="H123" s="193">
        <f>(+E123+F123+G123)</f>
        <v>0</v>
      </c>
      <c r="I123" s="58"/>
      <c r="J123" s="562"/>
    </row>
    <row r="124" spans="1:10" ht="21.75">
      <c r="A124"/>
      <c r="B124" s="175" t="s">
        <v>73</v>
      </c>
      <c r="C124" s="79">
        <v>0</v>
      </c>
      <c r="D124" s="80">
        <v>0</v>
      </c>
      <c r="E124" s="495">
        <f>IF(C124&gt;2,(3*D124/15),(C124*(3/2)*D124/15))</f>
        <v>0</v>
      </c>
      <c r="F124" s="496">
        <f>+D124*1/15</f>
        <v>0</v>
      </c>
      <c r="G124" s="497">
        <f>+(D124/15)*1*(C124-2)/2+(D124*1/15)</f>
        <v>0</v>
      </c>
      <c r="H124" s="194">
        <f>(+E124+F124+G124)</f>
        <v>0</v>
      </c>
      <c r="I124" s="179"/>
      <c r="J124" s="98"/>
    </row>
    <row r="125" spans="1:10" ht="21.75">
      <c r="A125" s="557"/>
      <c r="B125" s="204" t="s">
        <v>265</v>
      </c>
      <c r="C125" s="226"/>
      <c r="D125" s="226"/>
      <c r="E125" s="563"/>
      <c r="F125" s="564"/>
      <c r="G125" s="563"/>
      <c r="H125" s="227"/>
      <c r="I125" s="222"/>
      <c r="J125" s="98"/>
    </row>
    <row r="126" spans="1:10" ht="21.75">
      <c r="A126" s="16"/>
      <c r="B126" s="195" t="s">
        <v>75</v>
      </c>
      <c r="C126" s="498">
        <v>0</v>
      </c>
      <c r="D126" s="499">
        <v>0</v>
      </c>
      <c r="E126" s="508">
        <f>IF(C126&gt;5,(3*D126/15),(C126*(3/5)*D126/15))</f>
        <v>0</v>
      </c>
      <c r="F126" s="509">
        <f>+D126*1/15</f>
        <v>0</v>
      </c>
      <c r="G126" s="510">
        <f>+(D126/15)*1*(C126-5)/5+(D126*1/15)</f>
        <v>0</v>
      </c>
      <c r="H126" s="511">
        <f>+E126+F126+G126</f>
        <v>0</v>
      </c>
      <c r="I126" s="57"/>
      <c r="J126" s="98"/>
    </row>
    <row r="127" spans="1:10" ht="21.75">
      <c r="A127"/>
      <c r="B127" s="196" t="s">
        <v>76</v>
      </c>
      <c r="C127" s="503">
        <v>0</v>
      </c>
      <c r="D127" s="504">
        <v>0</v>
      </c>
      <c r="E127" s="512">
        <f>IF(C127&gt;5,(3*D127/15),(C127*(3/5)*D127/15))</f>
        <v>0</v>
      </c>
      <c r="F127" s="513">
        <f>+D127*1/15</f>
        <v>0</v>
      </c>
      <c r="G127" s="514">
        <f>+(D127/15)*1*(C127-5)/5+(D127*1/15)</f>
        <v>0</v>
      </c>
      <c r="H127" s="515">
        <f>+E127+F127+G127</f>
        <v>0</v>
      </c>
      <c r="I127" s="111"/>
      <c r="J127" s="97"/>
    </row>
    <row r="128" spans="1:10" s="15" customFormat="1" ht="21.75">
      <c r="A128"/>
      <c r="B128" s="197" t="s">
        <v>77</v>
      </c>
      <c r="C128" s="516">
        <v>0</v>
      </c>
      <c r="D128" s="517">
        <v>0</v>
      </c>
      <c r="E128" s="619">
        <f>IF(C128&gt;5,(3*D128/15),(C128*(3/5)*D128/15))</f>
        <v>0</v>
      </c>
      <c r="F128" s="620">
        <f>+D128*1/15</f>
        <v>0</v>
      </c>
      <c r="G128" s="621">
        <f>+(D128/15)*1*(C128-5)/5+(D128*1/15)</f>
        <v>0</v>
      </c>
      <c r="H128" s="622">
        <f>+E128+F128+G128</f>
        <v>0</v>
      </c>
      <c r="I128" s="179"/>
      <c r="J128" s="562"/>
    </row>
    <row r="129" spans="1:10" ht="21.75">
      <c r="A129" s="557"/>
      <c r="B129" s="4" t="s">
        <v>393</v>
      </c>
      <c r="C129" s="558"/>
      <c r="D129" s="558"/>
      <c r="E129" s="559"/>
      <c r="F129" s="560"/>
      <c r="G129" s="559"/>
      <c r="H129" s="561"/>
      <c r="I129" s="55"/>
      <c r="J129" s="98"/>
    </row>
    <row r="130" spans="1:10" ht="21.75">
      <c r="A130"/>
      <c r="B130" s="52" t="s">
        <v>78</v>
      </c>
      <c r="C130" s="498">
        <v>0</v>
      </c>
      <c r="D130" s="499">
        <v>0</v>
      </c>
      <c r="E130" s="508">
        <f>+D130*2.5/30</f>
        <v>0</v>
      </c>
      <c r="F130" s="509">
        <f>+D130*3/30</f>
        <v>0</v>
      </c>
      <c r="G130" s="510">
        <f>+(D130/30)*2*(C130-10)/10+(D130*2/30)</f>
        <v>0</v>
      </c>
      <c r="H130" s="511">
        <f>+E130+F130+G130</f>
        <v>0</v>
      </c>
      <c r="I130" s="57"/>
      <c r="J130" s="97"/>
    </row>
    <row r="131" spans="1:10" ht="21.75">
      <c r="A131"/>
      <c r="B131" s="53" t="s">
        <v>79</v>
      </c>
      <c r="C131" s="516">
        <v>0</v>
      </c>
      <c r="D131" s="517">
        <v>0</v>
      </c>
      <c r="E131" s="619">
        <f>+D131*2.5/30</f>
        <v>0</v>
      </c>
      <c r="F131" s="620">
        <f>+D131*3/30</f>
        <v>0</v>
      </c>
      <c r="G131" s="621">
        <f>+(D131/30)*2*(C131-10)/10+(D131*2/30)</f>
        <v>0</v>
      </c>
      <c r="H131" s="622">
        <f>+E131+F131+G131</f>
        <v>0</v>
      </c>
      <c r="I131" s="172"/>
      <c r="J131" s="98"/>
    </row>
    <row r="132" spans="1:10" ht="21.75">
      <c r="A132"/>
      <c r="B132" s="186" t="s">
        <v>180</v>
      </c>
      <c r="C132" s="198"/>
      <c r="D132" s="199"/>
      <c r="E132" s="90"/>
      <c r="F132" s="90"/>
      <c r="G132" s="192"/>
      <c r="H132" s="92"/>
      <c r="I132" s="57"/>
      <c r="J132" s="98"/>
    </row>
    <row r="133" spans="1:10" ht="21.75">
      <c r="A133"/>
      <c r="B133" s="52" t="s">
        <v>168</v>
      </c>
      <c r="C133" s="491">
        <v>0</v>
      </c>
      <c r="D133" s="492">
        <v>0</v>
      </c>
      <c r="E133" s="131">
        <f>IF(C133&gt;2,(3*D133/45),(C133*(3/2)*D133/45))</f>
        <v>0</v>
      </c>
      <c r="F133" s="132">
        <f>+D133*4/45</f>
        <v>0</v>
      </c>
      <c r="G133" s="135">
        <f>+(D133/45)*4*(C133-2)/2+(D133*4/45)</f>
        <v>0</v>
      </c>
      <c r="H133" s="120">
        <f>+E133+F133+G133</f>
        <v>0</v>
      </c>
      <c r="I133" s="57"/>
      <c r="J133" s="98"/>
    </row>
    <row r="134" spans="1:10" ht="21.75">
      <c r="A134"/>
      <c r="B134" s="52" t="s">
        <v>283</v>
      </c>
      <c r="C134" s="493">
        <v>0</v>
      </c>
      <c r="D134" s="494">
        <v>0</v>
      </c>
      <c r="E134" s="131">
        <f>IF(C134&gt;2,(3*D134/45),(C134*(3/2)*D134/45))</f>
        <v>0</v>
      </c>
      <c r="F134" s="132">
        <f>+D134*4/45</f>
        <v>0</v>
      </c>
      <c r="G134" s="135">
        <f>+(D134/45)*4*(C134-2)/2+(D134*4/45)</f>
        <v>0</v>
      </c>
      <c r="H134" s="120">
        <f>+E134+F134+G134</f>
        <v>0</v>
      </c>
      <c r="I134" s="57"/>
      <c r="J134" s="97"/>
    </row>
    <row r="135" spans="1:9" ht="18.75">
      <c r="A135" s="10"/>
      <c r="B135" s="524" t="s">
        <v>301</v>
      </c>
      <c r="C135" s="522"/>
      <c r="D135" s="525"/>
      <c r="E135" s="641"/>
      <c r="F135" s="641"/>
      <c r="G135" s="641"/>
      <c r="H135" s="643">
        <f>SUM(H121:H134)</f>
        <v>0</v>
      </c>
      <c r="I135" s="10"/>
    </row>
    <row r="136" spans="1:8" ht="19.5" thickBot="1">
      <c r="A136" s="827"/>
      <c r="B136" s="644" t="s">
        <v>300</v>
      </c>
      <c r="C136" s="645">
        <f>(SUM(D121:D124)+SUM(D126:D128))/15</f>
        <v>0</v>
      </c>
      <c r="D136" s="645">
        <f>SUM(D130:D131)/30</f>
        <v>0</v>
      </c>
      <c r="E136" s="645">
        <f>SUM(D133:D134)/45</f>
        <v>0</v>
      </c>
      <c r="F136" s="1" t="s">
        <v>295</v>
      </c>
      <c r="G136" s="642">
        <f>C136+D136+E136</f>
        <v>0</v>
      </c>
      <c r="H136" s="828"/>
    </row>
    <row r="137" spans="1:8" ht="19.5" thickBot="1">
      <c r="A137" s="646"/>
      <c r="B137" s="649" t="s">
        <v>302</v>
      </c>
      <c r="C137" s="647">
        <f>C72+C108+C136</f>
        <v>0</v>
      </c>
      <c r="D137" s="647">
        <f>D72+D108+D136</f>
        <v>0</v>
      </c>
      <c r="E137" s="647">
        <f>E72+E108+E136</f>
        <v>0</v>
      </c>
      <c r="F137" s="647" t="s">
        <v>303</v>
      </c>
      <c r="G137" s="650">
        <f>G72+G108+G136</f>
        <v>0</v>
      </c>
      <c r="H137" s="648"/>
    </row>
  </sheetData>
  <sheetProtection password="CC19" sheet="1" formatCells="0" formatColumns="0" formatRows="0" insertRows="0"/>
  <mergeCells count="7">
    <mergeCell ref="E117:G117"/>
    <mergeCell ref="A2:G2"/>
    <mergeCell ref="E5:G5"/>
    <mergeCell ref="E74:G74"/>
    <mergeCell ref="E52:G52"/>
    <mergeCell ref="E109:G109"/>
    <mergeCell ref="E99:G99"/>
  </mergeCells>
  <printOptions/>
  <pageMargins left="0.2755905511811024" right="0.15748031496062992" top="0.07874015748031496" bottom="0" header="0.31496062992125984" footer="0.31496062992125984"/>
  <pageSetup horizontalDpi="600" verticalDpi="600" orientation="portrait" paperSize="9" r:id="rId4"/>
  <headerFooter alignWithMargins="0">
    <oddFooter>&amp;C&amp;12 2</oddFooter>
  </headerFooter>
  <rowBreaks count="1" manualBreakCount="1">
    <brk id="9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116" zoomScaleSheetLayoutView="116" zoomScalePageLayoutView="0" workbookViewId="0" topLeftCell="A1">
      <pane xSplit="1" ySplit="2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:E19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5"/>
      <c r="B1" s="152" t="s">
        <v>0</v>
      </c>
      <c r="C1" s="152" t="s">
        <v>9</v>
      </c>
      <c r="D1" s="152" t="s">
        <v>81</v>
      </c>
      <c r="E1" s="236" t="s">
        <v>3</v>
      </c>
      <c r="F1" s="237" t="s">
        <v>271</v>
      </c>
    </row>
    <row r="2" spans="1:6" s="15" customFormat="1" ht="15.75" customHeight="1">
      <c r="A2" s="208"/>
      <c r="B2" s="31"/>
      <c r="C2" s="33"/>
      <c r="D2" s="33"/>
      <c r="E2" s="206" t="s">
        <v>87</v>
      </c>
      <c r="F2" s="34"/>
    </row>
    <row r="3" spans="2:6" s="15" customFormat="1" ht="15.75" customHeight="1">
      <c r="B3" s="202" t="s">
        <v>182</v>
      </c>
      <c r="C3" s="200"/>
      <c r="D3" s="203"/>
      <c r="E3" s="201"/>
      <c r="F3" s="26"/>
    </row>
    <row r="4" spans="1:6" s="15" customFormat="1" ht="18" customHeight="1">
      <c r="A4" s="15">
        <v>1.5</v>
      </c>
      <c r="B4" s="4" t="s">
        <v>82</v>
      </c>
      <c r="C4" s="676" t="s">
        <v>3</v>
      </c>
      <c r="D4" s="677">
        <f>D6+D13+D21+D27</f>
        <v>0</v>
      </c>
      <c r="E4" s="678">
        <f>IF(D4&lt;30,D4,30)</f>
        <v>0</v>
      </c>
      <c r="F4" s="82" t="s">
        <v>44</v>
      </c>
    </row>
    <row r="5" spans="2:6" s="15" customFormat="1" ht="15" customHeight="1">
      <c r="B5" s="4" t="s">
        <v>83</v>
      </c>
      <c r="D5" s="209"/>
      <c r="E5" s="205" t="s">
        <v>2</v>
      </c>
      <c r="F5" s="210" t="s">
        <v>66</v>
      </c>
    </row>
    <row r="6" spans="2:6" s="15" customFormat="1" ht="18" customHeight="1">
      <c r="B6" s="4" t="s">
        <v>396</v>
      </c>
      <c r="D6" s="680">
        <f>SUM(D7:D11)</f>
        <v>0</v>
      </c>
      <c r="E6" s="205" t="s">
        <v>2</v>
      </c>
      <c r="F6" s="210"/>
    </row>
    <row r="7" spans="2:6" s="15" customFormat="1" ht="15.75" customHeight="1">
      <c r="B7" s="211" t="s">
        <v>404</v>
      </c>
      <c r="C7" s="212">
        <v>0</v>
      </c>
      <c r="D7" s="667">
        <f>C7*4</f>
        <v>0</v>
      </c>
      <c r="E7" s="205" t="s">
        <v>2</v>
      </c>
      <c r="F7" s="668" t="s">
        <v>80</v>
      </c>
    </row>
    <row r="8" spans="2:6" s="15" customFormat="1" ht="15.75" customHeight="1">
      <c r="B8" s="211"/>
      <c r="C8" s="833"/>
      <c r="D8" s="213"/>
      <c r="E8" s="205"/>
      <c r="F8" s="210"/>
    </row>
    <row r="9" spans="2:6" s="15" customFormat="1" ht="15.75" customHeight="1">
      <c r="B9" s="211" t="s">
        <v>397</v>
      </c>
      <c r="C9" s="214">
        <v>0</v>
      </c>
      <c r="D9" s="667">
        <f>C9*4</f>
        <v>0</v>
      </c>
      <c r="E9" s="205" t="s">
        <v>2</v>
      </c>
      <c r="F9" s="210"/>
    </row>
    <row r="10" spans="1:6" s="15" customFormat="1" ht="15.75" customHeight="1">
      <c r="A10" s="436"/>
      <c r="B10" s="437"/>
      <c r="C10" s="832"/>
      <c r="D10" s="438"/>
      <c r="E10" s="439"/>
      <c r="F10" s="440"/>
    </row>
    <row r="11" spans="2:6" s="15" customFormat="1" ht="15.75" customHeight="1">
      <c r="B11" s="211" t="s">
        <v>398</v>
      </c>
      <c r="C11" s="214">
        <v>0</v>
      </c>
      <c r="D11" s="667">
        <f>C11*4</f>
        <v>0</v>
      </c>
      <c r="E11" s="830"/>
      <c r="F11" s="210"/>
    </row>
    <row r="12" spans="2:6" s="15" customFormat="1" ht="15.75" customHeight="1">
      <c r="B12" s="211"/>
      <c r="C12" s="831"/>
      <c r="D12" s="829"/>
      <c r="E12" s="830"/>
      <c r="F12" s="210"/>
    </row>
    <row r="13" spans="2:6" s="15" customFormat="1" ht="15.75" customHeight="1">
      <c r="B13" s="204" t="s">
        <v>402</v>
      </c>
      <c r="C13" s="219"/>
      <c r="D13" s="679">
        <f>SUM(D14:D18)</f>
        <v>0</v>
      </c>
      <c r="E13" s="205" t="s">
        <v>2</v>
      </c>
      <c r="F13" s="210"/>
    </row>
    <row r="14" spans="2:6" s="15" customFormat="1" ht="15.75" customHeight="1">
      <c r="B14" s="211" t="s">
        <v>399</v>
      </c>
      <c r="C14" s="212">
        <v>0</v>
      </c>
      <c r="D14" s="220">
        <f>C14</f>
        <v>0</v>
      </c>
      <c r="E14" s="205" t="s">
        <v>2</v>
      </c>
      <c r="F14" s="668" t="s">
        <v>80</v>
      </c>
    </row>
    <row r="15" spans="2:6" s="15" customFormat="1" ht="15.75" customHeight="1">
      <c r="B15" s="211"/>
      <c r="C15" s="214"/>
      <c r="D15" s="220"/>
      <c r="E15" s="205"/>
      <c r="F15" s="210"/>
    </row>
    <row r="16" spans="2:6" s="15" customFormat="1" ht="15.75" customHeight="1">
      <c r="B16" s="211" t="s">
        <v>400</v>
      </c>
      <c r="C16" s="214">
        <v>0</v>
      </c>
      <c r="D16" s="220">
        <f>C16</f>
        <v>0</v>
      </c>
      <c r="E16" s="205" t="s">
        <v>2</v>
      </c>
      <c r="F16" s="210"/>
    </row>
    <row r="17" spans="2:6" s="15" customFormat="1" ht="15.75" customHeight="1">
      <c r="B17" s="211"/>
      <c r="C17" s="834"/>
      <c r="D17" s="835"/>
      <c r="E17" s="830"/>
      <c r="F17" s="210"/>
    </row>
    <row r="18" spans="2:6" s="15" customFormat="1" ht="15.75" customHeight="1">
      <c r="B18" s="211" t="s">
        <v>401</v>
      </c>
      <c r="C18" s="834">
        <v>0</v>
      </c>
      <c r="D18" s="220">
        <f>C18</f>
        <v>0</v>
      </c>
      <c r="E18" s="205" t="s">
        <v>2</v>
      </c>
      <c r="F18" s="210"/>
    </row>
    <row r="19" spans="1:6" s="15" customFormat="1" ht="15.75" customHeight="1">
      <c r="A19" s="208"/>
      <c r="B19" s="216"/>
      <c r="C19" s="441"/>
      <c r="D19" s="221"/>
      <c r="E19" s="217"/>
      <c r="F19" s="218"/>
    </row>
    <row r="20" spans="2:6" s="15" customFormat="1" ht="15.75" customHeight="1">
      <c r="B20" s="204" t="s">
        <v>84</v>
      </c>
      <c r="C20" s="219"/>
      <c r="D20" s="209"/>
      <c r="E20" s="222"/>
      <c r="F20" s="668" t="s">
        <v>66</v>
      </c>
    </row>
    <row r="21" spans="2:6" s="15" customFormat="1" ht="15.75" customHeight="1">
      <c r="B21" s="204" t="s">
        <v>403</v>
      </c>
      <c r="C21" s="219"/>
      <c r="D21" s="680">
        <f>SUM(D22:D26)</f>
        <v>0</v>
      </c>
      <c r="E21" s="222"/>
      <c r="F21" s="668" t="s">
        <v>61</v>
      </c>
    </row>
    <row r="22" spans="2:6" s="15" customFormat="1" ht="15.75" customHeight="1">
      <c r="B22" s="211" t="s">
        <v>405</v>
      </c>
      <c r="C22" s="223">
        <v>0</v>
      </c>
      <c r="D22" s="213">
        <f>C22*4</f>
        <v>0</v>
      </c>
      <c r="E22" s="224" t="s">
        <v>2</v>
      </c>
      <c r="F22" s="210"/>
    </row>
    <row r="23" spans="2:6" s="15" customFormat="1" ht="15.75" customHeight="1">
      <c r="B23" s="211" t="s">
        <v>407</v>
      </c>
      <c r="C23" s="214">
        <v>0</v>
      </c>
      <c r="D23" s="213">
        <f>C23*4</f>
        <v>0</v>
      </c>
      <c r="E23" s="224" t="s">
        <v>2</v>
      </c>
      <c r="F23" s="210"/>
    </row>
    <row r="24" spans="2:6" s="15" customFormat="1" ht="15.75" customHeight="1">
      <c r="B24" s="211" t="s">
        <v>408</v>
      </c>
      <c r="C24" s="214">
        <v>0</v>
      </c>
      <c r="D24" s="213">
        <f>C24*4</f>
        <v>0</v>
      </c>
      <c r="E24" s="224" t="s">
        <v>2</v>
      </c>
      <c r="F24" s="210"/>
    </row>
    <row r="25" spans="2:6" s="15" customFormat="1" ht="15.75" customHeight="1">
      <c r="B25" s="211" t="s">
        <v>409</v>
      </c>
      <c r="C25" s="442">
        <v>0</v>
      </c>
      <c r="D25" s="213">
        <f>C25*4</f>
        <v>0</v>
      </c>
      <c r="E25" s="224"/>
      <c r="F25" s="210"/>
    </row>
    <row r="26" spans="2:6" s="15" customFormat="1" ht="15.75" customHeight="1">
      <c r="B26" s="211" t="s">
        <v>410</v>
      </c>
      <c r="C26" s="442">
        <v>0</v>
      </c>
      <c r="D26" s="213">
        <f>C26*4</f>
        <v>0</v>
      </c>
      <c r="E26" s="443" t="s">
        <v>2</v>
      </c>
      <c r="F26" s="440"/>
    </row>
    <row r="27" spans="2:6" s="15" customFormat="1" ht="15.75" customHeight="1">
      <c r="B27" s="204" t="s">
        <v>414</v>
      </c>
      <c r="C27" s="226"/>
      <c r="D27" s="679">
        <f>SUM(D28:D32)</f>
        <v>0</v>
      </c>
      <c r="E27" s="227"/>
      <c r="F27" s="82" t="s">
        <v>44</v>
      </c>
    </row>
    <row r="28" spans="2:6" s="15" customFormat="1" ht="15.75" customHeight="1">
      <c r="B28" s="211" t="s">
        <v>405</v>
      </c>
      <c r="C28" s="223">
        <v>0</v>
      </c>
      <c r="D28" s="220">
        <f>C28</f>
        <v>0</v>
      </c>
      <c r="E28" s="224" t="s">
        <v>2</v>
      </c>
      <c r="F28" s="668" t="s">
        <v>66</v>
      </c>
    </row>
    <row r="29" spans="2:6" s="15" customFormat="1" ht="15.75" customHeight="1">
      <c r="B29" s="211" t="s">
        <v>406</v>
      </c>
      <c r="C29" s="214">
        <v>0</v>
      </c>
      <c r="D29" s="220">
        <f>C29</f>
        <v>0</v>
      </c>
      <c r="E29" s="224" t="s">
        <v>2</v>
      </c>
      <c r="F29" s="210"/>
    </row>
    <row r="30" spans="2:6" s="15" customFormat="1" ht="15.75" customHeight="1">
      <c r="B30" s="211" t="s">
        <v>411</v>
      </c>
      <c r="C30" s="214">
        <v>0</v>
      </c>
      <c r="D30" s="220">
        <f>C30</f>
        <v>0</v>
      </c>
      <c r="E30" s="224" t="s">
        <v>2</v>
      </c>
      <c r="F30" s="210"/>
    </row>
    <row r="31" spans="2:6" s="15" customFormat="1" ht="15.75" customHeight="1">
      <c r="B31" s="211" t="s">
        <v>412</v>
      </c>
      <c r="C31" s="836">
        <v>0</v>
      </c>
      <c r="D31" s="837">
        <f>C31</f>
        <v>0</v>
      </c>
      <c r="E31" s="224"/>
      <c r="F31" s="210"/>
    </row>
    <row r="32" spans="1:6" s="15" customFormat="1" ht="15.75" customHeight="1">
      <c r="A32" s="208"/>
      <c r="B32" s="216" t="s">
        <v>413</v>
      </c>
      <c r="C32" s="444">
        <v>0</v>
      </c>
      <c r="D32" s="221">
        <f>C32</f>
        <v>0</v>
      </c>
      <c r="E32" s="445" t="s">
        <v>2</v>
      </c>
      <c r="F32" s="218"/>
    </row>
    <row r="33" spans="1:6" s="15" customFormat="1" ht="15.75" customHeight="1">
      <c r="A33" s="15">
        <v>1.6</v>
      </c>
      <c r="B33" s="4" t="s">
        <v>183</v>
      </c>
      <c r="D33" s="209"/>
      <c r="E33" s="222"/>
      <c r="F33" s="55"/>
    </row>
    <row r="34" spans="2:6" s="15" customFormat="1" ht="15.75" customHeight="1">
      <c r="B34" s="83" t="s">
        <v>85</v>
      </c>
      <c r="C34" s="228">
        <v>0</v>
      </c>
      <c r="D34" s="229">
        <f>C34*0.5</f>
        <v>0</v>
      </c>
      <c r="E34" s="227">
        <f>D34</f>
        <v>0</v>
      </c>
      <c r="F34" s="93"/>
    </row>
    <row r="35" spans="1:6" s="15" customFormat="1" ht="15.75" customHeight="1">
      <c r="A35" s="215"/>
      <c r="B35" s="225"/>
      <c r="C35" s="230" t="s">
        <v>2</v>
      </c>
      <c r="D35" s="231" t="s">
        <v>2</v>
      </c>
      <c r="E35" s="232">
        <v>0</v>
      </c>
      <c r="F35" s="125"/>
    </row>
    <row r="36" spans="2:6" s="15" customFormat="1" ht="15.75" customHeight="1">
      <c r="B36" s="4" t="s">
        <v>184</v>
      </c>
      <c r="D36" s="209"/>
      <c r="E36" s="222"/>
      <c r="F36" s="55"/>
    </row>
    <row r="37" spans="2:6" s="15" customFormat="1" ht="15.75" customHeight="1">
      <c r="B37" s="83" t="s">
        <v>169</v>
      </c>
      <c r="C37" s="228">
        <v>0</v>
      </c>
      <c r="D37" s="229">
        <f>C37*1</f>
        <v>0</v>
      </c>
      <c r="E37" s="227">
        <f>D37</f>
        <v>0</v>
      </c>
      <c r="F37" s="82" t="s">
        <v>86</v>
      </c>
    </row>
    <row r="38" spans="2:6" s="15" customFormat="1" ht="15.75" customHeight="1">
      <c r="B38" s="149"/>
      <c r="C38" s="230" t="s">
        <v>2</v>
      </c>
      <c r="D38" s="231" t="s">
        <v>2</v>
      </c>
      <c r="E38" s="231" t="s">
        <v>2</v>
      </c>
      <c r="F38" s="125"/>
    </row>
    <row r="39" spans="2:6" s="15" customFormat="1" ht="15.75" customHeight="1">
      <c r="B39" s="207" t="s">
        <v>89</v>
      </c>
      <c r="C39" s="32" t="s">
        <v>9</v>
      </c>
      <c r="D39" s="203" t="s">
        <v>88</v>
      </c>
      <c r="E39" s="227"/>
      <c r="F39" s="82" t="s">
        <v>45</v>
      </c>
    </row>
    <row r="40" spans="2:6" s="15" customFormat="1" ht="20.25" customHeight="1">
      <c r="B40" s="670" t="s">
        <v>185</v>
      </c>
      <c r="C40" s="669">
        <v>0</v>
      </c>
      <c r="D40" s="671">
        <v>1</v>
      </c>
      <c r="E40" s="563">
        <f>C40*1/D40</f>
        <v>0</v>
      </c>
      <c r="F40" s="82" t="s">
        <v>60</v>
      </c>
    </row>
    <row r="41" spans="1:6" s="15" customFormat="1" ht="20.25" customHeight="1">
      <c r="A41" s="208"/>
      <c r="B41" s="675"/>
      <c r="C41" s="673" t="s">
        <v>2</v>
      </c>
      <c r="D41" s="672" t="s">
        <v>2</v>
      </c>
      <c r="E41" s="674" t="s">
        <v>2</v>
      </c>
      <c r="F41" s="125"/>
    </row>
    <row r="42" spans="1:6" s="15" customFormat="1" ht="15.75" customHeight="1">
      <c r="A42" s="208"/>
      <c r="B42" s="238" t="s">
        <v>39</v>
      </c>
      <c r="C42" s="239" t="s">
        <v>2</v>
      </c>
      <c r="D42" s="446" t="s">
        <v>2</v>
      </c>
      <c r="E42" s="233">
        <f>E4+E34+E37+E40</f>
        <v>0</v>
      </c>
      <c r="F42" s="234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Normal="120" zoomScaleSheetLayoutView="110" zoomScalePageLayoutView="0" workbookViewId="0" topLeftCell="B46">
      <selection activeCell="I54" sqref="I54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39" customWidth="1"/>
    <col min="4" max="4" width="7.7109375" style="39" customWidth="1"/>
    <col min="5" max="5" width="8.57421875" style="39" customWidth="1"/>
    <col min="6" max="6" width="5.7109375" style="159" customWidth="1"/>
    <col min="7" max="7" width="6.140625" style="1" customWidth="1"/>
    <col min="8" max="8" width="5.8515625" style="1" customWidth="1"/>
    <col min="9" max="9" width="6.421875" style="1" customWidth="1"/>
    <col min="10" max="10" width="5.421875" style="1" customWidth="1"/>
    <col min="11" max="11" width="6.57421875" style="39" customWidth="1"/>
    <col min="12" max="12" width="11.140625" style="1" customWidth="1"/>
    <col min="13" max="16384" width="9.140625" style="1" customWidth="1"/>
  </cols>
  <sheetData>
    <row r="1" ht="14.25" customHeight="1">
      <c r="L1" s="1" t="s">
        <v>269</v>
      </c>
    </row>
    <row r="2" spans="1:12" ht="22.5" customHeight="1">
      <c r="A2" s="247">
        <v>2</v>
      </c>
      <c r="B2" s="248" t="s">
        <v>310</v>
      </c>
      <c r="C2" s="249" t="s">
        <v>94</v>
      </c>
      <c r="D2" s="886" t="s">
        <v>91</v>
      </c>
      <c r="E2" s="887"/>
      <c r="F2" s="888" t="s">
        <v>96</v>
      </c>
      <c r="G2" s="889"/>
      <c r="H2" s="889"/>
      <c r="I2" s="889"/>
      <c r="J2" s="890"/>
      <c r="K2" s="250" t="s">
        <v>107</v>
      </c>
      <c r="L2" s="250" t="s">
        <v>98</v>
      </c>
    </row>
    <row r="3" spans="1:12" ht="22.5" customHeight="1">
      <c r="A3" s="251"/>
      <c r="B3" s="392" t="s">
        <v>137</v>
      </c>
      <c r="C3" s="253" t="s">
        <v>95</v>
      </c>
      <c r="D3" s="253" t="s">
        <v>92</v>
      </c>
      <c r="E3" s="253" t="s">
        <v>93</v>
      </c>
      <c r="F3" s="254" t="s">
        <v>99</v>
      </c>
      <c r="G3" s="255" t="s">
        <v>100</v>
      </c>
      <c r="H3" s="256" t="s">
        <v>101</v>
      </c>
      <c r="I3" s="240" t="s">
        <v>97</v>
      </c>
      <c r="J3" s="240" t="s">
        <v>90</v>
      </c>
      <c r="K3" s="257" t="s">
        <v>108</v>
      </c>
      <c r="L3" s="257" t="s">
        <v>311</v>
      </c>
    </row>
    <row r="4" spans="1:12" ht="22.5" customHeight="1">
      <c r="A4" s="251"/>
      <c r="B4" s="392" t="s">
        <v>372</v>
      </c>
      <c r="C4" s="252" t="s">
        <v>371</v>
      </c>
      <c r="D4" s="369"/>
      <c r="E4" s="369"/>
      <c r="F4" s="389"/>
      <c r="G4" s="283"/>
      <c r="H4" s="283"/>
      <c r="I4" s="178"/>
      <c r="J4" s="178"/>
      <c r="K4" s="390"/>
      <c r="L4" s="391" t="s">
        <v>312</v>
      </c>
    </row>
    <row r="5" spans="1:12" ht="20.25" customHeight="1">
      <c r="A5" s="241"/>
      <c r="B5" s="307">
        <v>1</v>
      </c>
      <c r="C5" s="277" t="s">
        <v>2</v>
      </c>
      <c r="D5" s="268"/>
      <c r="E5" s="269"/>
      <c r="F5" s="270">
        <v>0</v>
      </c>
      <c r="G5" s="270">
        <v>0</v>
      </c>
      <c r="H5" s="270">
        <v>0</v>
      </c>
      <c r="I5" s="271">
        <v>0</v>
      </c>
      <c r="J5" s="270">
        <v>0</v>
      </c>
      <c r="K5" s="426" t="str">
        <f>IF((F5+G5+H5+I5+J5)&gt;1,"ผิด","ถูก")</f>
        <v>ถูก</v>
      </c>
      <c r="L5" s="272">
        <v>0</v>
      </c>
    </row>
    <row r="6" spans="1:12" ht="20.25" customHeight="1">
      <c r="A6" s="241"/>
      <c r="B6" s="307"/>
      <c r="C6" s="278"/>
      <c r="D6" s="273"/>
      <c r="E6" s="274"/>
      <c r="F6" s="275">
        <f>IF(F5=1,16,0)</f>
        <v>0</v>
      </c>
      <c r="G6" s="275">
        <f>IF(G5=1,6,0)</f>
        <v>0</v>
      </c>
      <c r="H6" s="275">
        <f>IF(H5=1,3,0)</f>
        <v>0</v>
      </c>
      <c r="I6" s="275">
        <f>IF(I5=1,3,0)</f>
        <v>0</v>
      </c>
      <c r="J6" s="275">
        <f>IF(J5=1,3,0)</f>
        <v>0</v>
      </c>
      <c r="K6" s="321">
        <f>SUM(F6:J6)</f>
        <v>0</v>
      </c>
      <c r="L6" s="276"/>
    </row>
    <row r="7" spans="1:12" ht="20.25" customHeight="1">
      <c r="A7" s="241"/>
      <c r="B7" s="308"/>
      <c r="C7" s="279"/>
      <c r="D7" s="263"/>
      <c r="E7" s="264"/>
      <c r="F7" s="265"/>
      <c r="G7" s="267"/>
      <c r="H7" s="267"/>
      <c r="I7" s="265"/>
      <c r="J7" s="267"/>
      <c r="K7" s="322"/>
      <c r="L7" s="266"/>
    </row>
    <row r="8" spans="1:12" ht="20.25" customHeight="1">
      <c r="A8" s="241"/>
      <c r="B8" s="307">
        <v>2</v>
      </c>
      <c r="C8" s="277">
        <v>0</v>
      </c>
      <c r="D8" s="268"/>
      <c r="E8" s="269"/>
      <c r="F8" s="270">
        <v>0</v>
      </c>
      <c r="G8" s="270">
        <v>0</v>
      </c>
      <c r="H8" s="270">
        <v>0</v>
      </c>
      <c r="I8" s="271">
        <v>0</v>
      </c>
      <c r="J8" s="270">
        <v>0</v>
      </c>
      <c r="K8" s="426" t="str">
        <f>IF((F8+G8+H8+I8+J8)&gt;1,"ผิด","ถูก")</f>
        <v>ถูก</v>
      </c>
      <c r="L8" s="272">
        <v>0</v>
      </c>
    </row>
    <row r="9" spans="1:12" ht="20.25" customHeight="1">
      <c r="A9" s="241"/>
      <c r="B9" s="307"/>
      <c r="C9" s="305"/>
      <c r="D9" s="295"/>
      <c r="E9" s="296"/>
      <c r="F9" s="297">
        <f>IF(F8=1,16,0)</f>
        <v>0</v>
      </c>
      <c r="G9" s="297">
        <f>IF(G8=1,6,0)</f>
        <v>0</v>
      </c>
      <c r="H9" s="297">
        <f>IF(H8=1,3,0)</f>
        <v>0</v>
      </c>
      <c r="I9" s="297">
        <f>IF(I8=1,3,0)</f>
        <v>0</v>
      </c>
      <c r="J9" s="297">
        <f>IF(J8=1,3,0)</f>
        <v>0</v>
      </c>
      <c r="K9" s="323">
        <f>SUM(F9:J9)</f>
        <v>0</v>
      </c>
      <c r="L9" s="298"/>
    </row>
    <row r="10" spans="1:12" ht="20.25" customHeight="1">
      <c r="A10" s="241"/>
      <c r="B10" s="308"/>
      <c r="C10" s="306"/>
      <c r="D10" s="300"/>
      <c r="E10" s="301"/>
      <c r="F10" s="302"/>
      <c r="G10" s="303"/>
      <c r="H10" s="303"/>
      <c r="I10" s="302"/>
      <c r="J10" s="303"/>
      <c r="K10" s="324"/>
      <c r="L10" s="304"/>
    </row>
    <row r="11" spans="1:12" ht="20.25" customHeight="1">
      <c r="A11" s="241"/>
      <c r="B11" s="307">
        <v>3</v>
      </c>
      <c r="C11" s="277">
        <v>0</v>
      </c>
      <c r="D11" s="268"/>
      <c r="E11" s="269"/>
      <c r="F11" s="270">
        <v>0</v>
      </c>
      <c r="G11" s="270">
        <v>0</v>
      </c>
      <c r="H11" s="270">
        <v>0</v>
      </c>
      <c r="I11" s="271">
        <v>0</v>
      </c>
      <c r="J11" s="270">
        <v>0</v>
      </c>
      <c r="K11" s="426" t="str">
        <f>IF((F11+G11+H11+I11+J11)&gt;1,"ผิด","ถูก")</f>
        <v>ถูก</v>
      </c>
      <c r="L11" s="272">
        <v>0</v>
      </c>
    </row>
    <row r="12" spans="1:12" ht="20.25" customHeight="1">
      <c r="A12" s="241"/>
      <c r="B12" s="307"/>
      <c r="C12" s="294"/>
      <c r="D12" s="295"/>
      <c r="E12" s="296"/>
      <c r="F12" s="297">
        <f>IF(F11=1,16,0)</f>
        <v>0</v>
      </c>
      <c r="G12" s="297">
        <f>IF(G11=1,6,0)</f>
        <v>0</v>
      </c>
      <c r="H12" s="297">
        <f>IF(H11=1,3,0)</f>
        <v>0</v>
      </c>
      <c r="I12" s="297">
        <f>IF(I11=1,3,0)</f>
        <v>0</v>
      </c>
      <c r="J12" s="297">
        <f>IF(J11=1,3,0)</f>
        <v>0</v>
      </c>
      <c r="K12" s="323">
        <f>SUM(F12:J12)</f>
        <v>0</v>
      </c>
      <c r="L12" s="298"/>
    </row>
    <row r="13" spans="1:12" ht="20.25" customHeight="1">
      <c r="A13" s="241"/>
      <c r="B13" s="308"/>
      <c r="C13" s="299"/>
      <c r="D13" s="300"/>
      <c r="E13" s="301"/>
      <c r="F13" s="302"/>
      <c r="G13" s="303"/>
      <c r="H13" s="303"/>
      <c r="I13" s="302"/>
      <c r="J13" s="303"/>
      <c r="K13" s="324"/>
      <c r="L13" s="304"/>
    </row>
    <row r="14" spans="1:12" ht="20.25" customHeight="1">
      <c r="A14" s="241"/>
      <c r="B14" s="307">
        <v>4</v>
      </c>
      <c r="C14" s="277">
        <v>0</v>
      </c>
      <c r="D14" s="268"/>
      <c r="E14" s="269"/>
      <c r="F14" s="270">
        <v>0</v>
      </c>
      <c r="G14" s="270">
        <v>0</v>
      </c>
      <c r="H14" s="270">
        <v>0</v>
      </c>
      <c r="I14" s="271">
        <v>0</v>
      </c>
      <c r="J14" s="270">
        <v>0</v>
      </c>
      <c r="K14" s="426" t="str">
        <f>IF((F14+G14+H14+I14+J14)&gt;1,"ผิด","ถูก")</f>
        <v>ถูก</v>
      </c>
      <c r="L14" s="126">
        <v>0</v>
      </c>
    </row>
    <row r="15" spans="1:12" ht="20.25" customHeight="1">
      <c r="A15" s="241"/>
      <c r="B15" s="307"/>
      <c r="C15" s="294"/>
      <c r="D15" s="295"/>
      <c r="E15" s="296"/>
      <c r="F15" s="297">
        <f>IF(F14=1,16,0)</f>
        <v>0</v>
      </c>
      <c r="G15" s="297">
        <f>IF(G14=1,6,0)</f>
        <v>0</v>
      </c>
      <c r="H15" s="297">
        <f>IF(H14=1,3,0)</f>
        <v>0</v>
      </c>
      <c r="I15" s="297">
        <f>IF(I14=1,3,0)</f>
        <v>0</v>
      </c>
      <c r="J15" s="297">
        <f>IF(J14=1,3,0)</f>
        <v>0</v>
      </c>
      <c r="K15" s="323">
        <f>SUM(F15:J15)</f>
        <v>0</v>
      </c>
      <c r="L15" s="298"/>
    </row>
    <row r="16" spans="1:12" ht="20.25" customHeight="1">
      <c r="A16" s="241"/>
      <c r="B16" s="308"/>
      <c r="C16" s="299"/>
      <c r="D16" s="300"/>
      <c r="E16" s="301"/>
      <c r="F16" s="302"/>
      <c r="G16" s="303"/>
      <c r="H16" s="303"/>
      <c r="I16" s="302"/>
      <c r="J16" s="303"/>
      <c r="K16" s="324"/>
      <c r="L16" s="304"/>
    </row>
    <row r="17" spans="1:12" ht="18" customHeight="1">
      <c r="A17" s="242"/>
      <c r="B17" s="258" t="s">
        <v>110</v>
      </c>
      <c r="C17" s="243"/>
      <c r="D17" s="244"/>
      <c r="E17" s="245"/>
      <c r="F17" s="261"/>
      <c r="G17" s="262"/>
      <c r="H17" s="262"/>
      <c r="I17" s="261"/>
      <c r="J17" s="262"/>
      <c r="K17" s="325"/>
      <c r="L17" s="246"/>
    </row>
    <row r="18" spans="1:12" ht="19.5" customHeight="1">
      <c r="A18" s="309"/>
      <c r="B18" s="289" t="s">
        <v>102</v>
      </c>
      <c r="C18" s="340"/>
      <c r="D18" s="289" t="s">
        <v>117</v>
      </c>
      <c r="E18" s="891" t="s">
        <v>105</v>
      </c>
      <c r="F18" s="892"/>
      <c r="G18" s="289" t="s">
        <v>109</v>
      </c>
      <c r="H18" s="338" t="s">
        <v>106</v>
      </c>
      <c r="I18" s="339"/>
      <c r="J18" s="893" t="s">
        <v>4</v>
      </c>
      <c r="K18" s="894"/>
      <c r="L18" s="895"/>
    </row>
    <row r="19" spans="1:12" ht="19.5" customHeight="1">
      <c r="A19" s="623"/>
      <c r="B19" s="320" t="s">
        <v>175</v>
      </c>
      <c r="C19" s="341"/>
      <c r="D19" s="290" t="s">
        <v>118</v>
      </c>
      <c r="E19" s="291" t="s">
        <v>103</v>
      </c>
      <c r="F19" s="259" t="s">
        <v>104</v>
      </c>
      <c r="G19" s="290" t="s">
        <v>65</v>
      </c>
      <c r="H19" s="290"/>
      <c r="I19" s="288"/>
      <c r="J19" s="896"/>
      <c r="K19" s="897"/>
      <c r="L19" s="898"/>
    </row>
    <row r="20" spans="1:12" ht="20.25" customHeight="1">
      <c r="A20" s="310">
        <v>2</v>
      </c>
      <c r="B20" s="20" t="s">
        <v>111</v>
      </c>
      <c r="C20" s="342"/>
      <c r="D20" s="280"/>
      <c r="E20" s="280"/>
      <c r="F20" s="154"/>
      <c r="G20" s="280"/>
      <c r="H20" s="281"/>
      <c r="I20" s="282"/>
      <c r="L20" s="311"/>
    </row>
    <row r="21" spans="1:12" ht="20.25" customHeight="1">
      <c r="A21" s="312"/>
      <c r="B21" s="411">
        <f>B5</f>
        <v>1</v>
      </c>
      <c r="C21" s="343"/>
      <c r="D21" s="345">
        <f>IF(C5=0,0,IF(C5&lt;200001,4,IF(C5&lt;500000,8,12)))</f>
        <v>12</v>
      </c>
      <c r="E21" s="284">
        <f>D21*G21/100</f>
        <v>0</v>
      </c>
      <c r="F21" s="155">
        <f>K6*G21/100</f>
        <v>0</v>
      </c>
      <c r="G21" s="283">
        <f>L5</f>
        <v>0</v>
      </c>
      <c r="H21" s="124"/>
      <c r="I21" s="697">
        <f>IF(F21&gt;E21,F21,E21)</f>
        <v>0</v>
      </c>
      <c r="J21" s="61"/>
      <c r="K21" s="326"/>
      <c r="L21" s="313"/>
    </row>
    <row r="22" spans="1:12" ht="20.25" customHeight="1">
      <c r="A22" s="312"/>
      <c r="B22" s="411">
        <f>B8</f>
        <v>2</v>
      </c>
      <c r="C22" s="343"/>
      <c r="D22" s="345">
        <f>IF(C8=0,0,IF(C8&lt;200001,4,IF(C8&lt;500000,8,12)))</f>
        <v>0</v>
      </c>
      <c r="E22" s="284">
        <f>D22*G22/100</f>
        <v>0</v>
      </c>
      <c r="F22" s="155">
        <f>K9*G22/100</f>
        <v>0</v>
      </c>
      <c r="G22" s="283">
        <f>L8</f>
        <v>0</v>
      </c>
      <c r="H22" s="124"/>
      <c r="I22" s="697">
        <f>IF(F22&gt;E22,F22,E22)</f>
        <v>0</v>
      </c>
      <c r="J22" s="61"/>
      <c r="K22" s="326"/>
      <c r="L22" s="313"/>
    </row>
    <row r="23" spans="1:12" ht="20.25" customHeight="1">
      <c r="A23" s="312"/>
      <c r="B23" s="411">
        <f>B11</f>
        <v>3</v>
      </c>
      <c r="C23" s="343"/>
      <c r="D23" s="345">
        <f>IF(C11=0,0,IF(C11&lt;200001,4,IF(C11&lt;500000,8,12)))</f>
        <v>0</v>
      </c>
      <c r="E23" s="284">
        <f>D23*G23/100</f>
        <v>0</v>
      </c>
      <c r="F23" s="155">
        <f>K12*G23/100</f>
        <v>0</v>
      </c>
      <c r="G23" s="283">
        <f>L11</f>
        <v>0</v>
      </c>
      <c r="H23" s="124"/>
      <c r="I23" s="697">
        <f>IF(F23&gt;E23,F23,E23)</f>
        <v>0</v>
      </c>
      <c r="J23" s="61"/>
      <c r="K23" s="326"/>
      <c r="L23" s="313"/>
    </row>
    <row r="24" spans="1:12" ht="17.25" customHeight="1" thickBot="1">
      <c r="A24" s="314"/>
      <c r="B24" s="412">
        <f>B14</f>
        <v>4</v>
      </c>
      <c r="C24" s="344"/>
      <c r="D24" s="346">
        <f>IF(C14=0,0,IF(C14&lt;200001,4,IF(C14&lt;500000,8,12)))</f>
        <v>0</v>
      </c>
      <c r="E24" s="286">
        <f>D24*G24/100</f>
        <v>0</v>
      </c>
      <c r="F24" s="285">
        <f>K15*G24/100</f>
        <v>0</v>
      </c>
      <c r="G24" s="256">
        <f>L14</f>
        <v>0</v>
      </c>
      <c r="H24" s="287"/>
      <c r="I24" s="698">
        <f>IF(F24&gt;E24,F24,E24)</f>
        <v>0</v>
      </c>
      <c r="J24" s="60"/>
      <c r="K24" s="128"/>
      <c r="L24" s="315"/>
    </row>
    <row r="25" spans="1:12" ht="21" customHeight="1" thickBot="1" thickTop="1">
      <c r="A25" s="316"/>
      <c r="B25" s="327" t="s">
        <v>309</v>
      </c>
      <c r="C25" s="701">
        <f>SUM(I21:I24)</f>
        <v>0</v>
      </c>
      <c r="D25" s="696"/>
      <c r="E25" s="695" t="s">
        <v>308</v>
      </c>
      <c r="F25" s="317"/>
      <c r="G25" s="318"/>
      <c r="H25" s="319"/>
      <c r="I25" s="690">
        <f>SUM(I21:I24)/2</f>
        <v>0</v>
      </c>
      <c r="J25" s="681"/>
      <c r="K25" s="682"/>
      <c r="L25" s="683"/>
    </row>
    <row r="26" spans="1:12" ht="8.25" customHeight="1">
      <c r="A26" s="335"/>
      <c r="B26" s="335"/>
      <c r="C26" s="336"/>
      <c r="D26" s="336"/>
      <c r="E26" s="336"/>
      <c r="F26" s="337"/>
      <c r="G26" s="335"/>
      <c r="H26" s="335"/>
      <c r="I26" s="335"/>
      <c r="J26" s="335"/>
      <c r="K26" s="336"/>
      <c r="L26" s="335"/>
    </row>
    <row r="27" spans="1:12" ht="15" customHeight="1">
      <c r="A27" s="124"/>
      <c r="B27" s="519" t="s">
        <v>102</v>
      </c>
      <c r="C27" s="348"/>
      <c r="D27" s="331"/>
      <c r="E27" s="331"/>
      <c r="F27" s="156"/>
      <c r="G27" s="289" t="s">
        <v>109</v>
      </c>
      <c r="H27" s="338" t="s">
        <v>106</v>
      </c>
      <c r="I27" s="339"/>
      <c r="J27" s="124" t="s">
        <v>270</v>
      </c>
      <c r="K27" s="331"/>
      <c r="L27" s="388"/>
    </row>
    <row r="28" spans="1:12" ht="14.25" customHeight="1">
      <c r="A28" s="287"/>
      <c r="B28" s="333"/>
      <c r="C28" s="292"/>
      <c r="D28" s="293"/>
      <c r="E28" s="293"/>
      <c r="F28" s="332"/>
      <c r="G28" s="290" t="s">
        <v>65</v>
      </c>
      <c r="H28" s="290"/>
      <c r="I28" s="288"/>
      <c r="J28" s="333" t="s">
        <v>125</v>
      </c>
      <c r="K28" s="293"/>
      <c r="L28" s="288"/>
    </row>
    <row r="29" spans="1:12" ht="16.5" customHeight="1">
      <c r="A29" s="124"/>
      <c r="B29" s="281" t="s">
        <v>112</v>
      </c>
      <c r="C29" s="348"/>
      <c r="D29" s="331"/>
      <c r="E29" s="331"/>
      <c r="F29" s="156"/>
      <c r="G29" s="281"/>
      <c r="H29" s="347"/>
      <c r="I29" s="124"/>
      <c r="J29" s="6" t="s">
        <v>114</v>
      </c>
      <c r="L29" s="282"/>
    </row>
    <row r="30" spans="1:12" ht="18.75">
      <c r="A30" s="124"/>
      <c r="B30" s="281" t="s">
        <v>206</v>
      </c>
      <c r="C30" s="328"/>
      <c r="D30" s="331"/>
      <c r="E30" s="331"/>
      <c r="F30" s="156"/>
      <c r="G30" s="281"/>
      <c r="H30" s="281"/>
      <c r="I30" s="334"/>
      <c r="J30" s="6" t="s">
        <v>313</v>
      </c>
      <c r="L30" s="282"/>
    </row>
    <row r="31" spans="2:12" ht="18.75">
      <c r="B31" s="330" t="s">
        <v>113</v>
      </c>
      <c r="C31" s="329"/>
      <c r="D31" s="331"/>
      <c r="E31" s="331"/>
      <c r="F31" s="156"/>
      <c r="G31" s="417">
        <v>0</v>
      </c>
      <c r="H31" s="281"/>
      <c r="I31" s="334">
        <f>G31*4/100</f>
        <v>0</v>
      </c>
      <c r="J31" s="6" t="s">
        <v>362</v>
      </c>
      <c r="L31" s="9"/>
    </row>
    <row r="32" spans="2:12" ht="18.75">
      <c r="B32" s="330" t="s">
        <v>115</v>
      </c>
      <c r="C32" s="329"/>
      <c r="D32" s="331"/>
      <c r="E32" s="331"/>
      <c r="F32" s="156"/>
      <c r="G32" s="417">
        <v>0</v>
      </c>
      <c r="H32" s="281"/>
      <c r="I32" s="334">
        <f>G32*4/100</f>
        <v>0</v>
      </c>
      <c r="J32" s="684" t="s">
        <v>314</v>
      </c>
      <c r="L32" s="9"/>
    </row>
    <row r="33" spans="2:12" ht="18.75">
      <c r="B33" s="281" t="s">
        <v>415</v>
      </c>
      <c r="C33" s="328"/>
      <c r="D33" s="331"/>
      <c r="E33" s="541"/>
      <c r="F33" s="540"/>
      <c r="G33" s="417"/>
      <c r="H33" s="281"/>
      <c r="I33" s="334"/>
      <c r="J33" s="6"/>
      <c r="L33" s="9"/>
    </row>
    <row r="34" spans="2:12" ht="18.75">
      <c r="B34" s="330" t="s">
        <v>229</v>
      </c>
      <c r="C34" s="329"/>
      <c r="D34" s="331"/>
      <c r="E34" s="542" t="s">
        <v>225</v>
      </c>
      <c r="F34" s="543">
        <v>0</v>
      </c>
      <c r="G34" s="544">
        <v>0</v>
      </c>
      <c r="H34" s="545"/>
      <c r="I34" s="546">
        <f>IF(F34=1,G34*8/100,IF(F34=2,G34*6/100,0))</f>
        <v>0</v>
      </c>
      <c r="J34" s="6"/>
      <c r="L34" s="9"/>
    </row>
    <row r="35" spans="2:12" ht="18.75">
      <c r="B35" s="553" t="s">
        <v>240</v>
      </c>
      <c r="C35" s="329"/>
      <c r="D35" s="331"/>
      <c r="E35" s="542" t="s">
        <v>225</v>
      </c>
      <c r="F35" s="543">
        <v>0</v>
      </c>
      <c r="G35" s="544">
        <v>0</v>
      </c>
      <c r="H35" s="545"/>
      <c r="I35" s="546">
        <f>IF(F35=1,G35*8/100,IF(F35=2,G35*6/100,0))</f>
        <v>0</v>
      </c>
      <c r="J35" s="6"/>
      <c r="L35" s="9"/>
    </row>
    <row r="36" spans="2:12" ht="18.75">
      <c r="B36" s="281" t="s">
        <v>116</v>
      </c>
      <c r="C36" s="328"/>
      <c r="D36" s="331"/>
      <c r="E36" s="331"/>
      <c r="F36" s="156"/>
      <c r="G36" s="417"/>
      <c r="H36" s="281"/>
      <c r="I36" s="124"/>
      <c r="J36" s="281"/>
      <c r="K36" s="331"/>
      <c r="L36" s="282"/>
    </row>
    <row r="37" spans="2:12" ht="18.75">
      <c r="B37" s="281" t="s">
        <v>207</v>
      </c>
      <c r="C37" s="328"/>
      <c r="D37" s="331"/>
      <c r="E37" s="331"/>
      <c r="F37" s="156"/>
      <c r="G37" s="417"/>
      <c r="H37" s="281"/>
      <c r="I37" s="334"/>
      <c r="J37" s="281" t="s">
        <v>114</v>
      </c>
      <c r="K37" s="331"/>
      <c r="L37" s="282"/>
    </row>
    <row r="38" spans="2:12" ht="18.75">
      <c r="B38" s="330" t="s">
        <v>113</v>
      </c>
      <c r="C38" s="329"/>
      <c r="D38" s="331"/>
      <c r="E38" s="331"/>
      <c r="F38" s="156"/>
      <c r="G38" s="417">
        <v>0</v>
      </c>
      <c r="H38" s="281"/>
      <c r="I38" s="334">
        <f>G38*8/100</f>
        <v>0</v>
      </c>
      <c r="J38" s="6"/>
      <c r="L38" s="9"/>
    </row>
    <row r="39" spans="2:12" ht="18.75">
      <c r="B39" s="330" t="s">
        <v>115</v>
      </c>
      <c r="C39" s="328"/>
      <c r="D39" s="331"/>
      <c r="E39" s="331"/>
      <c r="F39" s="156"/>
      <c r="G39" s="417">
        <v>0</v>
      </c>
      <c r="H39" s="281"/>
      <c r="I39" s="334">
        <f>G39*8/100</f>
        <v>0</v>
      </c>
      <c r="J39" s="6"/>
      <c r="L39" s="9"/>
    </row>
    <row r="40" spans="2:12" ht="18.75">
      <c r="B40" s="281" t="s">
        <v>208</v>
      </c>
      <c r="C40" s="328"/>
      <c r="D40" s="331"/>
      <c r="E40" s="331"/>
      <c r="F40" s="156"/>
      <c r="G40" s="417"/>
      <c r="H40" s="281"/>
      <c r="I40" s="334"/>
      <c r="J40" s="6"/>
      <c r="L40" s="9"/>
    </row>
    <row r="41" spans="2:12" ht="18.75">
      <c r="B41" s="330" t="s">
        <v>113</v>
      </c>
      <c r="C41" s="328"/>
      <c r="D41" s="331"/>
      <c r="E41" s="331"/>
      <c r="F41" s="156"/>
      <c r="G41" s="417">
        <v>0</v>
      </c>
      <c r="H41" s="281"/>
      <c r="I41" s="334">
        <f>G41*12/100</f>
        <v>0</v>
      </c>
      <c r="J41" s="6"/>
      <c r="L41" s="9"/>
    </row>
    <row r="42" spans="1:12" ht="18.75" thickBot="1">
      <c r="A42" s="36"/>
      <c r="B42" s="349" t="s">
        <v>115</v>
      </c>
      <c r="C42" s="292"/>
      <c r="D42" s="293"/>
      <c r="E42" s="293"/>
      <c r="F42" s="332"/>
      <c r="G42" s="427">
        <v>0</v>
      </c>
      <c r="H42" s="333"/>
      <c r="I42" s="334">
        <f>G42*12/100</f>
        <v>0</v>
      </c>
      <c r="J42" s="8"/>
      <c r="K42" s="260"/>
      <c r="L42" s="36"/>
    </row>
    <row r="43" spans="1:12" ht="19.5" thickBot="1" thickTop="1">
      <c r="A43" s="5"/>
      <c r="B43" s="356" t="s">
        <v>121</v>
      </c>
      <c r="C43" s="700">
        <f>SUM(I31:I42)</f>
        <v>0</v>
      </c>
      <c r="D43" s="260"/>
      <c r="E43" s="691" t="s">
        <v>316</v>
      </c>
      <c r="F43" s="694"/>
      <c r="G43" s="10"/>
      <c r="H43" s="693"/>
      <c r="I43" s="690">
        <f>SUM(I31:I42)/2</f>
        <v>0</v>
      </c>
      <c r="J43" s="686" t="s">
        <v>315</v>
      </c>
      <c r="K43" s="260"/>
      <c r="L43" s="36"/>
    </row>
    <row r="44" spans="1:12" ht="15" customHeight="1" thickTop="1">
      <c r="A44" s="10"/>
      <c r="B44" s="63" t="s">
        <v>120</v>
      </c>
      <c r="C44" s="351"/>
      <c r="D44" s="352"/>
      <c r="E44" s="352"/>
      <c r="F44" s="353"/>
      <c r="G44" s="354" t="s">
        <v>119</v>
      </c>
      <c r="H44" s="255" t="s">
        <v>123</v>
      </c>
      <c r="I44" s="685" t="s">
        <v>3</v>
      </c>
      <c r="J44" s="333" t="s">
        <v>124</v>
      </c>
      <c r="K44" s="355"/>
      <c r="L44" s="70"/>
    </row>
    <row r="45" spans="2:12" ht="18">
      <c r="B45" s="6" t="s">
        <v>230</v>
      </c>
      <c r="D45" s="331"/>
      <c r="E45" s="331"/>
      <c r="F45" s="156"/>
      <c r="G45" s="281"/>
      <c r="H45" s="350"/>
      <c r="J45" s="687" t="s">
        <v>114</v>
      </c>
      <c r="K45" s="429"/>
      <c r="L45" s="688"/>
    </row>
    <row r="46" spans="2:12" ht="18">
      <c r="B46" s="26" t="s">
        <v>226</v>
      </c>
      <c r="G46" s="281"/>
      <c r="H46" s="350"/>
      <c r="I46" s="7"/>
      <c r="J46" s="689" t="s">
        <v>317</v>
      </c>
      <c r="K46" s="429"/>
      <c r="L46" s="688"/>
    </row>
    <row r="47" spans="2:12" ht="18">
      <c r="B47" s="330" t="s">
        <v>241</v>
      </c>
      <c r="C47" s="326"/>
      <c r="D47" s="326"/>
      <c r="E47" s="326"/>
      <c r="F47" s="158"/>
      <c r="G47" s="357">
        <v>0</v>
      </c>
      <c r="H47" s="357">
        <v>0</v>
      </c>
      <c r="I47" s="44">
        <f>G47+H47</f>
        <v>0</v>
      </c>
      <c r="J47" s="547" t="s">
        <v>228</v>
      </c>
      <c r="K47" s="548"/>
      <c r="L47" s="549"/>
    </row>
    <row r="48" spans="2:12" ht="18">
      <c r="B48" s="330" t="s">
        <v>170</v>
      </c>
      <c r="C48" s="326"/>
      <c r="D48" s="326"/>
      <c r="E48" s="326"/>
      <c r="F48" s="158"/>
      <c r="G48" s="357">
        <v>0</v>
      </c>
      <c r="H48" s="357">
        <v>0</v>
      </c>
      <c r="I48" s="44">
        <f>G48+H48</f>
        <v>0</v>
      </c>
      <c r="J48" s="547" t="s">
        <v>228</v>
      </c>
      <c r="K48" s="548"/>
      <c r="L48" s="549"/>
    </row>
    <row r="49" spans="2:12" ht="18">
      <c r="B49" s="330" t="s">
        <v>171</v>
      </c>
      <c r="C49" s="326"/>
      <c r="D49" s="326"/>
      <c r="E49" s="326"/>
      <c r="F49" s="158"/>
      <c r="G49" s="357">
        <v>0</v>
      </c>
      <c r="H49" s="357">
        <v>0</v>
      </c>
      <c r="I49" s="44">
        <f>G49+H49</f>
        <v>0</v>
      </c>
      <c r="J49" s="547" t="s">
        <v>228</v>
      </c>
      <c r="K49" s="548"/>
      <c r="L49" s="549"/>
    </row>
    <row r="50" spans="2:12" ht="18">
      <c r="B50" s="26" t="s">
        <v>227</v>
      </c>
      <c r="G50" s="111"/>
      <c r="H50" s="111"/>
      <c r="I50" s="7"/>
      <c r="L50" s="9"/>
    </row>
    <row r="51" spans="2:12" ht="18">
      <c r="B51" s="330" t="s">
        <v>229</v>
      </c>
      <c r="C51" s="326"/>
      <c r="D51" s="326"/>
      <c r="F51" s="158"/>
      <c r="G51" s="357">
        <v>0</v>
      </c>
      <c r="H51" s="357">
        <v>0</v>
      </c>
      <c r="I51" s="44">
        <f>G51+H51</f>
        <v>0</v>
      </c>
      <c r="J51" s="547" t="s">
        <v>228</v>
      </c>
      <c r="K51" s="548"/>
      <c r="L51" s="549"/>
    </row>
    <row r="52" spans="2:12" ht="15" customHeight="1" thickBot="1">
      <c r="B52" s="349" t="s">
        <v>170</v>
      </c>
      <c r="C52" s="326"/>
      <c r="D52" s="326"/>
      <c r="E52" s="128"/>
      <c r="F52" s="158"/>
      <c r="G52" s="357">
        <v>0</v>
      </c>
      <c r="H52" s="357">
        <v>0</v>
      </c>
      <c r="I52" s="44">
        <f>G52+H52</f>
        <v>0</v>
      </c>
      <c r="J52" s="547" t="s">
        <v>228</v>
      </c>
      <c r="K52" s="548"/>
      <c r="L52" s="549"/>
    </row>
    <row r="53" spans="1:12" ht="18" customHeight="1" thickBot="1" thickTop="1">
      <c r="A53" s="10"/>
      <c r="B53" s="356" t="s">
        <v>122</v>
      </c>
      <c r="C53" s="397">
        <f>SUM(I47:I52)</f>
        <v>0</v>
      </c>
      <c r="D53" s="355"/>
      <c r="E53" s="691" t="s">
        <v>316</v>
      </c>
      <c r="F53" s="692"/>
      <c r="G53" s="10"/>
      <c r="H53" s="693"/>
      <c r="I53" s="690">
        <f>SUM(I47:I52)/2</f>
        <v>0</v>
      </c>
      <c r="J53" s="686" t="s">
        <v>315</v>
      </c>
      <c r="K53" s="355"/>
      <c r="L53" s="70"/>
    </row>
    <row r="54" spans="1:12" ht="18" customHeight="1" thickBot="1" thickTop="1">
      <c r="A54" s="384"/>
      <c r="B54" s="385" t="s">
        <v>318</v>
      </c>
      <c r="C54" s="386"/>
      <c r="D54" s="386"/>
      <c r="E54" s="386"/>
      <c r="F54" s="387"/>
      <c r="G54" s="384"/>
      <c r="H54" s="384"/>
      <c r="I54" s="699">
        <f>I25+I43+I53</f>
        <v>0</v>
      </c>
      <c r="J54" s="384"/>
      <c r="K54" s="386"/>
      <c r="L54" s="384"/>
    </row>
    <row r="55" ht="18.7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="130" zoomScaleSheetLayoutView="13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57.8515625" style="1" customWidth="1"/>
    <col min="3" max="3" width="6.28125" style="1" customWidth="1"/>
    <col min="4" max="4" width="5.28125" style="39" customWidth="1"/>
    <col min="5" max="5" width="6.421875" style="39" customWidth="1"/>
    <col min="6" max="6" width="6.140625" style="15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7" ht="6.75" customHeight="1">
      <c r="A1" s="399"/>
      <c r="B1" s="399"/>
      <c r="C1" s="399"/>
      <c r="D1" s="399"/>
      <c r="E1" s="399"/>
      <c r="F1" s="400"/>
      <c r="G1" s="399"/>
    </row>
    <row r="2" spans="1:7" ht="17.25" customHeight="1">
      <c r="A2" s="848"/>
      <c r="B2" s="849" t="s">
        <v>0</v>
      </c>
      <c r="C2" s="849"/>
      <c r="D2" s="849"/>
      <c r="E2" s="849" t="s">
        <v>126</v>
      </c>
      <c r="F2" s="850" t="s">
        <v>5</v>
      </c>
      <c r="G2" s="851" t="s">
        <v>268</v>
      </c>
    </row>
    <row r="3" spans="1:7" ht="18.75" customHeight="1">
      <c r="A3" s="35">
        <v>3</v>
      </c>
      <c r="B3" s="27" t="s">
        <v>21</v>
      </c>
      <c r="C3" s="775"/>
      <c r="D3" s="775"/>
      <c r="E3" s="776" t="s">
        <v>65</v>
      </c>
      <c r="F3" s="362"/>
      <c r="G3" s="1" t="s">
        <v>22</v>
      </c>
    </row>
    <row r="4" spans="2:7" ht="17.25" customHeight="1">
      <c r="B4" s="6" t="s">
        <v>212</v>
      </c>
      <c r="D4" s="370"/>
      <c r="E4" s="360">
        <v>0</v>
      </c>
      <c r="F4" s="358">
        <f>16*E4/100</f>
        <v>0</v>
      </c>
      <c r="G4" s="11" t="s">
        <v>127</v>
      </c>
    </row>
    <row r="5" spans="2:6" ht="17.25" customHeight="1">
      <c r="B5" s="371"/>
      <c r="C5" s="760"/>
      <c r="D5" s="370"/>
      <c r="E5" s="571"/>
      <c r="F5" s="572"/>
    </row>
    <row r="6" spans="2:7" ht="17.25" customHeight="1">
      <c r="B6" s="6" t="s">
        <v>233</v>
      </c>
      <c r="D6" s="552" t="s">
        <v>231</v>
      </c>
      <c r="E6" s="360">
        <v>0</v>
      </c>
      <c r="F6" s="358">
        <f>4*E6/100</f>
        <v>0</v>
      </c>
      <c r="G6" s="1" t="s">
        <v>127</v>
      </c>
    </row>
    <row r="7" spans="2:6" ht="17.25" customHeight="1">
      <c r="B7" s="6" t="s">
        <v>324</v>
      </c>
      <c r="D7" s="552" t="s">
        <v>232</v>
      </c>
      <c r="E7" s="360">
        <v>0</v>
      </c>
      <c r="F7" s="358">
        <f>2*E7/100</f>
        <v>0</v>
      </c>
    </row>
    <row r="8" spans="2:6" ht="17.25" customHeight="1">
      <c r="B8" s="371"/>
      <c r="C8" s="760"/>
      <c r="D8" s="552"/>
      <c r="E8" s="360"/>
      <c r="F8" s="358"/>
    </row>
    <row r="9" spans="2:6" ht="17.25" customHeight="1">
      <c r="B9" s="371"/>
      <c r="C9" s="760"/>
      <c r="D9" s="552"/>
      <c r="E9" s="571"/>
      <c r="F9" s="572"/>
    </row>
    <row r="10" spans="2:6" ht="18.75" customHeight="1">
      <c r="B10" s="573"/>
      <c r="C10" s="761"/>
      <c r="D10" s="361"/>
      <c r="E10" s="571"/>
      <c r="F10" s="572"/>
    </row>
    <row r="11" spans="2:7" ht="18.75" customHeight="1">
      <c r="B11" s="6" t="s">
        <v>325</v>
      </c>
      <c r="D11" s="370"/>
      <c r="E11" s="360">
        <v>0</v>
      </c>
      <c r="F11" s="358">
        <f>6*E11/100</f>
        <v>0</v>
      </c>
      <c r="G11" s="1" t="s">
        <v>127</v>
      </c>
    </row>
    <row r="12" spans="2:6" ht="18.75" customHeight="1">
      <c r="B12" s="773"/>
      <c r="C12" s="760"/>
      <c r="D12" s="361"/>
      <c r="E12" s="360"/>
      <c r="F12" s="358"/>
    </row>
    <row r="13" spans="2:6" ht="18.75" customHeight="1">
      <c r="B13" s="773"/>
      <c r="C13" s="760"/>
      <c r="D13" s="361"/>
      <c r="E13" s="360"/>
      <c r="F13" s="358"/>
    </row>
    <row r="14" spans="2:6" ht="18.75" customHeight="1">
      <c r="B14" s="6" t="s">
        <v>210</v>
      </c>
      <c r="D14" s="370"/>
      <c r="E14" s="360">
        <v>0</v>
      </c>
      <c r="F14" s="358">
        <f>6*E14/100</f>
        <v>0</v>
      </c>
    </row>
    <row r="15" spans="2:6" ht="18.75" customHeight="1">
      <c r="B15" s="774"/>
      <c r="C15" s="762"/>
      <c r="D15" s="520"/>
      <c r="E15" s="571"/>
      <c r="F15" s="572"/>
    </row>
    <row r="16" spans="2:6" ht="18.75" customHeight="1">
      <c r="B16" s="372" t="s">
        <v>211</v>
      </c>
      <c r="C16" s="185"/>
      <c r="D16" s="363" t="s">
        <v>128</v>
      </c>
      <c r="E16" s="574" t="s">
        <v>65</v>
      </c>
      <c r="F16" s="575"/>
    </row>
    <row r="17" spans="2:7" ht="18.75" customHeight="1" thickBot="1">
      <c r="B17" s="371" t="s">
        <v>129</v>
      </c>
      <c r="C17" s="767"/>
      <c r="D17" s="766">
        <v>0</v>
      </c>
      <c r="E17" s="364">
        <v>0</v>
      </c>
      <c r="F17" s="358">
        <f>D17*E17/100</f>
        <v>0</v>
      </c>
      <c r="G17" s="5"/>
    </row>
    <row r="18" spans="1:7" ht="17.25" customHeight="1" thickBot="1" thickTop="1">
      <c r="A18" s="10"/>
      <c r="B18" s="704" t="s">
        <v>26</v>
      </c>
      <c r="C18" s="780">
        <f>SUM(F4:F17)</f>
        <v>0</v>
      </c>
      <c r="D18" s="781"/>
      <c r="E18" s="782" t="s">
        <v>352</v>
      </c>
      <c r="F18" s="783">
        <f>SUM(F4:F17)/2</f>
        <v>0</v>
      </c>
      <c r="G18" s="706" t="s">
        <v>319</v>
      </c>
    </row>
    <row r="19" spans="1:7" ht="18.75" customHeight="1" thickTop="1">
      <c r="A19" s="842">
        <v>4</v>
      </c>
      <c r="B19" s="843" t="s">
        <v>130</v>
      </c>
      <c r="C19" s="844"/>
      <c r="D19" s="845"/>
      <c r="E19" s="845" t="s">
        <v>138</v>
      </c>
      <c r="F19" s="846" t="s">
        <v>5</v>
      </c>
      <c r="G19" s="847" t="s">
        <v>25</v>
      </c>
    </row>
    <row r="20" spans="1:7" ht="22.5" customHeight="1">
      <c r="A20" s="35"/>
      <c r="B20" s="684" t="s">
        <v>373</v>
      </c>
      <c r="C20" s="215"/>
      <c r="D20" s="376">
        <v>0</v>
      </c>
      <c r="E20" s="393">
        <f>F20</f>
        <v>0</v>
      </c>
      <c r="F20" s="365">
        <f>D20*1</f>
        <v>0</v>
      </c>
      <c r="G20" s="839"/>
    </row>
    <row r="21" spans="1:7" s="582" customFormat="1" ht="18.75" customHeight="1">
      <c r="A21" s="578"/>
      <c r="B21" s="579" t="s">
        <v>275</v>
      </c>
      <c r="C21" s="768"/>
      <c r="D21" s="580"/>
      <c r="E21" s="580"/>
      <c r="F21" s="581"/>
      <c r="G21" s="840"/>
    </row>
    <row r="22" spans="1:7" ht="18.75" customHeight="1">
      <c r="A22" s="35"/>
      <c r="B22" s="55" t="s">
        <v>419</v>
      </c>
      <c r="C22" s="56"/>
      <c r="D22" s="376">
        <v>0</v>
      </c>
      <c r="E22" s="393">
        <f>F22</f>
        <v>0</v>
      </c>
      <c r="F22" s="365">
        <f>D22*2</f>
        <v>0</v>
      </c>
      <c r="G22" s="839"/>
    </row>
    <row r="23" spans="1:7" ht="18.75" customHeight="1">
      <c r="A23" s="35"/>
      <c r="B23" s="55" t="s">
        <v>418</v>
      </c>
      <c r="C23" s="56"/>
      <c r="D23" s="838"/>
      <c r="E23" s="393"/>
      <c r="F23" s="365"/>
      <c r="G23" s="839"/>
    </row>
    <row r="24" spans="1:7" ht="18.75" customHeight="1">
      <c r="A24" s="35"/>
      <c r="B24" s="55" t="s">
        <v>374</v>
      </c>
      <c r="C24" s="56"/>
      <c r="D24" s="376">
        <v>0</v>
      </c>
      <c r="E24" s="393">
        <f>F24</f>
        <v>0</v>
      </c>
      <c r="F24" s="365">
        <f>D24*2</f>
        <v>0</v>
      </c>
      <c r="G24" s="839"/>
    </row>
    <row r="25" spans="1:7" ht="18.75" customHeight="1">
      <c r="A25" s="35"/>
      <c r="B25" s="55" t="s">
        <v>375</v>
      </c>
      <c r="C25" s="56"/>
      <c r="D25" s="376">
        <v>0</v>
      </c>
      <c r="E25" s="393">
        <f>F25</f>
        <v>0</v>
      </c>
      <c r="F25" s="365">
        <v>0</v>
      </c>
      <c r="G25" s="839"/>
    </row>
    <row r="26" spans="1:7" ht="18.75" customHeight="1">
      <c r="A26" s="1">
        <v>4.5</v>
      </c>
      <c r="B26" s="6" t="s">
        <v>416</v>
      </c>
      <c r="C26" s="9"/>
      <c r="D26" s="84">
        <v>0</v>
      </c>
      <c r="E26" s="393">
        <f>F26</f>
        <v>0</v>
      </c>
      <c r="F26" s="365">
        <f>+D26*1</f>
        <v>0</v>
      </c>
      <c r="G26" s="839"/>
    </row>
    <row r="27" spans="2:7" ht="18.75" customHeight="1">
      <c r="B27" s="57" t="s">
        <v>423</v>
      </c>
      <c r="C27" s="769"/>
      <c r="D27" s="373"/>
      <c r="E27" s="393"/>
      <c r="F27" s="358"/>
      <c r="G27" s="839"/>
    </row>
    <row r="28" spans="2:7" ht="18.75" customHeight="1">
      <c r="B28" s="6" t="s">
        <v>376</v>
      </c>
      <c r="C28" s="9"/>
      <c r="D28" s="84">
        <v>0</v>
      </c>
      <c r="E28" s="393">
        <f>F28</f>
        <v>0</v>
      </c>
      <c r="F28" s="155">
        <f>+D28*0.25</f>
        <v>0</v>
      </c>
      <c r="G28" s="839"/>
    </row>
    <row r="29" spans="2:7" ht="18.75" customHeight="1">
      <c r="B29" s="57" t="s">
        <v>216</v>
      </c>
      <c r="C29" s="769"/>
      <c r="D29" s="374"/>
      <c r="E29" s="367"/>
      <c r="F29" s="359"/>
      <c r="G29" s="61"/>
    </row>
    <row r="30" spans="2:7" ht="18.75" customHeight="1">
      <c r="B30" s="57" t="s">
        <v>377</v>
      </c>
      <c r="C30" s="769"/>
      <c r="D30" s="84">
        <v>0</v>
      </c>
      <c r="E30" s="393">
        <f>F30</f>
        <v>0</v>
      </c>
      <c r="F30" s="155">
        <f>+D30*0.5</f>
        <v>0</v>
      </c>
      <c r="G30" s="839"/>
    </row>
    <row r="31" spans="2:7" ht="18.75" customHeight="1">
      <c r="B31" s="57"/>
      <c r="C31" s="769"/>
      <c r="D31" s="126"/>
      <c r="E31" s="393"/>
      <c r="F31" s="155"/>
      <c r="G31" s="839"/>
    </row>
    <row r="32" spans="2:7" ht="18.75" customHeight="1">
      <c r="B32" s="6" t="s">
        <v>417</v>
      </c>
      <c r="C32" s="9"/>
      <c r="D32" s="126">
        <v>0</v>
      </c>
      <c r="E32" s="393">
        <f>F32</f>
        <v>0</v>
      </c>
      <c r="F32" s="155">
        <f>+D32*0.5</f>
        <v>0</v>
      </c>
      <c r="G32" s="839"/>
    </row>
    <row r="33" spans="2:7" ht="18.75" customHeight="1">
      <c r="B33" s="57" t="s">
        <v>215</v>
      </c>
      <c r="C33" s="769"/>
      <c r="D33" s="374" t="s">
        <v>2</v>
      </c>
      <c r="E33" s="367"/>
      <c r="F33" s="359" t="s">
        <v>2</v>
      </c>
      <c r="G33" s="839"/>
    </row>
    <row r="34" spans="2:7" ht="18.75" customHeight="1">
      <c r="B34" s="57" t="s">
        <v>378</v>
      </c>
      <c r="C34" s="769"/>
      <c r="D34" s="126">
        <v>0</v>
      </c>
      <c r="E34" s="393">
        <f>F34</f>
        <v>0</v>
      </c>
      <c r="F34" s="155">
        <f>+D34*0.5</f>
        <v>0</v>
      </c>
      <c r="G34" s="839"/>
    </row>
    <row r="35" spans="1:7" ht="18.75" customHeight="1">
      <c r="A35" s="35"/>
      <c r="B35" s="55" t="s">
        <v>421</v>
      </c>
      <c r="C35" s="56"/>
      <c r="D35" s="126">
        <v>0</v>
      </c>
      <c r="E35" s="393">
        <f>F35</f>
        <v>0</v>
      </c>
      <c r="F35" s="155">
        <f>+D35*0.5</f>
        <v>0</v>
      </c>
      <c r="G35" s="839"/>
    </row>
    <row r="36" spans="1:7" ht="18.75" customHeight="1">
      <c r="A36" s="35"/>
      <c r="B36" s="55" t="s">
        <v>420</v>
      </c>
      <c r="C36" s="56"/>
      <c r="D36" s="376"/>
      <c r="E36" s="393"/>
      <c r="F36" s="365"/>
      <c r="G36" s="839"/>
    </row>
    <row r="37" spans="1:7" ht="18.75" customHeight="1">
      <c r="A37" s="35"/>
      <c r="B37" s="55" t="s">
        <v>422</v>
      </c>
      <c r="C37" s="56"/>
      <c r="D37" s="126">
        <v>0</v>
      </c>
      <c r="E37" s="393">
        <f>F37</f>
        <v>0</v>
      </c>
      <c r="F37" s="155">
        <f>+D37*0.25</f>
        <v>0</v>
      </c>
      <c r="G37" s="839"/>
    </row>
    <row r="38" spans="1:7" ht="18.75" customHeight="1">
      <c r="A38" s="15">
        <v>4.6</v>
      </c>
      <c r="B38" s="55" t="s">
        <v>234</v>
      </c>
      <c r="C38" s="56"/>
      <c r="D38" s="376"/>
      <c r="E38" s="393"/>
      <c r="F38" s="365"/>
      <c r="G38" s="839"/>
    </row>
    <row r="39" spans="2:7" ht="18.75" customHeight="1">
      <c r="B39" s="6" t="s">
        <v>379</v>
      </c>
      <c r="C39" s="9"/>
      <c r="D39" s="84">
        <v>0</v>
      </c>
      <c r="E39" s="393">
        <f>F39</f>
        <v>0</v>
      </c>
      <c r="F39" s="155">
        <f>+D39</f>
        <v>0</v>
      </c>
      <c r="G39" s="839"/>
    </row>
    <row r="40" spans="2:7" ht="18.75" customHeight="1">
      <c r="B40" s="6" t="s">
        <v>380</v>
      </c>
      <c r="C40" s="9"/>
      <c r="D40" s="84">
        <v>0</v>
      </c>
      <c r="E40" s="393">
        <f>F40</f>
        <v>0</v>
      </c>
      <c r="F40" s="155">
        <f>+D40</f>
        <v>0</v>
      </c>
      <c r="G40" s="839"/>
    </row>
    <row r="41" spans="2:7" ht="18.75" customHeight="1">
      <c r="B41" s="6" t="s">
        <v>381</v>
      </c>
      <c r="C41" s="9"/>
      <c r="D41" s="84">
        <v>0</v>
      </c>
      <c r="E41" s="393">
        <f>F41</f>
        <v>0</v>
      </c>
      <c r="F41" s="155">
        <f>+D41</f>
        <v>0</v>
      </c>
      <c r="G41" s="839"/>
    </row>
    <row r="42" spans="2:7" ht="18.75" customHeight="1">
      <c r="B42" s="57" t="s">
        <v>173</v>
      </c>
      <c r="C42" s="769"/>
      <c r="D42" s="374" t="s">
        <v>2</v>
      </c>
      <c r="E42" s="367"/>
      <c r="F42" s="359" t="s">
        <v>2</v>
      </c>
      <c r="G42" s="61"/>
    </row>
    <row r="43" spans="1:7" ht="18.75" customHeight="1">
      <c r="A43" s="1">
        <v>4.6</v>
      </c>
      <c r="B43" s="55" t="s">
        <v>209</v>
      </c>
      <c r="C43" s="56"/>
      <c r="D43" s="374"/>
      <c r="E43" s="367"/>
      <c r="F43" s="359"/>
      <c r="G43" s="61"/>
    </row>
    <row r="44" spans="2:7" ht="18.75" customHeight="1">
      <c r="B44" s="371" t="s">
        <v>382</v>
      </c>
      <c r="C44" s="769"/>
      <c r="D44" s="84">
        <v>0</v>
      </c>
      <c r="E44" s="393">
        <f>F44</f>
        <v>0</v>
      </c>
      <c r="F44" s="155">
        <f>+D44</f>
        <v>0</v>
      </c>
      <c r="G44" s="839"/>
    </row>
    <row r="45" spans="2:7" ht="18.75" customHeight="1">
      <c r="B45" s="57" t="s">
        <v>235</v>
      </c>
      <c r="C45" s="769"/>
      <c r="D45" s="373"/>
      <c r="E45" s="366"/>
      <c r="F45" s="155"/>
      <c r="G45" s="839"/>
    </row>
    <row r="46" spans="1:7" ht="18.75" customHeight="1">
      <c r="A46" s="5"/>
      <c r="B46" s="62" t="s">
        <v>383</v>
      </c>
      <c r="C46" s="770"/>
      <c r="D46" s="87">
        <v>0</v>
      </c>
      <c r="E46" s="521">
        <f>F46</f>
        <v>0</v>
      </c>
      <c r="F46" s="285">
        <f>+D46</f>
        <v>0</v>
      </c>
      <c r="G46" s="841"/>
    </row>
    <row r="47" spans="1:7" ht="20.25" customHeight="1">
      <c r="A47" s="5"/>
      <c r="B47" s="33" t="s">
        <v>320</v>
      </c>
      <c r="C47" s="771"/>
      <c r="D47" s="177"/>
      <c r="E47" s="183">
        <f>SUM(E20:E46)</f>
        <v>0</v>
      </c>
      <c r="F47" s="285">
        <f>IF(SUM(F20:F46)&gt;6,6,SUM(F20:F46))</f>
        <v>0</v>
      </c>
      <c r="G47" s="368" t="s">
        <v>322</v>
      </c>
    </row>
    <row r="48" spans="1:7" s="148" customFormat="1" ht="5.25" customHeight="1">
      <c r="A48" s="145"/>
      <c r="B48" s="146"/>
      <c r="C48" s="772"/>
      <c r="D48" s="375"/>
      <c r="E48" s="375"/>
      <c r="F48" s="166"/>
      <c r="G48" s="147"/>
    </row>
    <row r="49" spans="1:7" ht="17.25" customHeight="1">
      <c r="A49" s="848"/>
      <c r="B49" s="849" t="s">
        <v>0</v>
      </c>
      <c r="C49" s="852"/>
      <c r="D49" s="853" t="s">
        <v>81</v>
      </c>
      <c r="E49" s="849"/>
      <c r="F49" s="854" t="s">
        <v>10</v>
      </c>
      <c r="G49" s="855" t="s">
        <v>267</v>
      </c>
    </row>
    <row r="50" spans="1:6" ht="17.25" customHeight="1">
      <c r="A50" s="1">
        <v>5</v>
      </c>
      <c r="B50" s="6" t="s">
        <v>132</v>
      </c>
      <c r="C50" s="9"/>
      <c r="D50" s="92"/>
      <c r="E50" s="90"/>
      <c r="F50" s="378"/>
    </row>
    <row r="51" spans="2:7" ht="17.25" customHeight="1">
      <c r="B51" s="57" t="s">
        <v>148</v>
      </c>
      <c r="C51" s="769"/>
      <c r="D51" s="129">
        <v>0</v>
      </c>
      <c r="E51" s="576"/>
      <c r="F51" s="702">
        <f>IF(D51&gt;3,3,D51)</f>
        <v>0</v>
      </c>
      <c r="G51" s="66" t="s">
        <v>224</v>
      </c>
    </row>
    <row r="52" spans="2:7" ht="17.25" customHeight="1">
      <c r="B52" s="57" t="s">
        <v>62</v>
      </c>
      <c r="C52" s="769"/>
      <c r="D52" s="129"/>
      <c r="E52" s="576"/>
      <c r="F52" s="572"/>
      <c r="G52" s="66"/>
    </row>
    <row r="53" spans="1:7" ht="17.25" customHeight="1">
      <c r="A53" s="9"/>
      <c r="B53" s="57" t="s">
        <v>152</v>
      </c>
      <c r="C53" s="769"/>
      <c r="D53" s="377">
        <v>0</v>
      </c>
      <c r="E53" s="703"/>
      <c r="F53" s="702">
        <f>IF(D53&gt;3,3,D53)</f>
        <v>0</v>
      </c>
      <c r="G53" s="66"/>
    </row>
    <row r="54" spans="1:7" ht="17.25" customHeight="1" thickBot="1">
      <c r="A54" s="5"/>
      <c r="B54" s="57" t="s">
        <v>131</v>
      </c>
      <c r="C54" s="769"/>
      <c r="D54" s="87"/>
      <c r="E54" s="577"/>
      <c r="F54" s="702"/>
      <c r="G54" s="68"/>
    </row>
    <row r="55" spans="1:7" ht="17.25" customHeight="1" thickBot="1" thickTop="1">
      <c r="A55" s="856"/>
      <c r="B55" s="857" t="s">
        <v>27</v>
      </c>
      <c r="C55" s="858">
        <f>SUM(F51:F53)</f>
        <v>0</v>
      </c>
      <c r="D55" s="859"/>
      <c r="E55" s="860" t="s">
        <v>353</v>
      </c>
      <c r="F55" s="861">
        <f>SUM(F51:F53)/2</f>
        <v>0</v>
      </c>
      <c r="G55" s="862" t="s">
        <v>319</v>
      </c>
    </row>
    <row r="56" spans="1:7" ht="17.25" customHeight="1" thickTop="1">
      <c r="A56" s="863">
        <v>6</v>
      </c>
      <c r="B56" s="864" t="s">
        <v>143</v>
      </c>
      <c r="C56" s="864"/>
      <c r="D56" s="865" t="s">
        <v>81</v>
      </c>
      <c r="E56" s="866"/>
      <c r="F56" s="867"/>
      <c r="G56" s="868" t="s">
        <v>13</v>
      </c>
    </row>
    <row r="57" spans="1:7" ht="20.25" customHeight="1">
      <c r="A57" s="9"/>
      <c r="B57" s="382" t="s">
        <v>133</v>
      </c>
      <c r="D57" s="84">
        <v>0</v>
      </c>
      <c r="E57" s="126"/>
      <c r="F57" s="165">
        <f>+D57</f>
        <v>0</v>
      </c>
      <c r="G57" s="66" t="s">
        <v>47</v>
      </c>
    </row>
    <row r="58" spans="1:7" ht="20.25" customHeight="1">
      <c r="A58" s="9"/>
      <c r="B58" s="1" t="s">
        <v>384</v>
      </c>
      <c r="D58" s="85">
        <v>0</v>
      </c>
      <c r="E58" s="126"/>
      <c r="F58" s="165">
        <f>+IF(F57&gt;0,0,D58)</f>
        <v>0</v>
      </c>
      <c r="G58" s="66" t="s">
        <v>47</v>
      </c>
    </row>
    <row r="59" spans="1:7" ht="20.25" customHeight="1">
      <c r="A59" s="9"/>
      <c r="B59" s="15" t="s">
        <v>385</v>
      </c>
      <c r="C59" s="15"/>
      <c r="D59" s="85">
        <v>0</v>
      </c>
      <c r="E59" s="126"/>
      <c r="F59" s="165">
        <f>+IF((F58+F57)&gt;0,0,D59)</f>
        <v>0</v>
      </c>
      <c r="G59" s="66" t="s">
        <v>47</v>
      </c>
    </row>
    <row r="60" spans="1:7" ht="20.25" customHeight="1">
      <c r="A60" s="9"/>
      <c r="B60" s="61" t="s">
        <v>321</v>
      </c>
      <c r="C60" s="61"/>
      <c r="D60" s="85"/>
      <c r="E60" s="126"/>
      <c r="F60" s="165"/>
      <c r="G60" s="66"/>
    </row>
    <row r="61" spans="1:7" ht="20.25" customHeight="1">
      <c r="A61" s="9"/>
      <c r="B61" s="61" t="s">
        <v>134</v>
      </c>
      <c r="C61" s="61"/>
      <c r="D61" s="85">
        <v>0</v>
      </c>
      <c r="E61" s="126"/>
      <c r="F61" s="165">
        <f>+IF((F57+F58+F59)&gt;0,0,D61)</f>
        <v>0</v>
      </c>
      <c r="G61" s="66" t="s">
        <v>47</v>
      </c>
    </row>
    <row r="62" spans="1:7" ht="20.25" customHeight="1">
      <c r="A62" s="9"/>
      <c r="B62" s="1" t="s">
        <v>424</v>
      </c>
      <c r="C62" s="61"/>
      <c r="D62" s="85">
        <v>0</v>
      </c>
      <c r="E62" s="369"/>
      <c r="F62" s="165">
        <f>IF(D62&gt;12,12,D62)</f>
        <v>0</v>
      </c>
      <c r="G62" s="66"/>
    </row>
    <row r="63" spans="1:7" ht="20.25" customHeight="1">
      <c r="A63" s="9"/>
      <c r="B63" s="61" t="s">
        <v>425</v>
      </c>
      <c r="C63" s="61"/>
      <c r="D63" s="85">
        <v>0</v>
      </c>
      <c r="E63" s="369">
        <f>D63*0.5</f>
        <v>0</v>
      </c>
      <c r="F63" s="165">
        <f>IF(E63&gt;4,4,E63)</f>
        <v>0</v>
      </c>
      <c r="G63" s="66"/>
    </row>
    <row r="64" spans="1:7" ht="20.25" customHeight="1">
      <c r="A64" s="9"/>
      <c r="B64" s="381" t="s">
        <v>174</v>
      </c>
      <c r="C64" s="381"/>
      <c r="D64" s="85"/>
      <c r="E64" s="126"/>
      <c r="F64" s="165"/>
      <c r="G64" s="66"/>
    </row>
    <row r="65" spans="1:7" ht="20.25" customHeight="1">
      <c r="A65" s="9"/>
      <c r="B65" s="61" t="s">
        <v>426</v>
      </c>
      <c r="C65" s="61"/>
      <c r="D65" s="85">
        <v>0</v>
      </c>
      <c r="E65" s="153"/>
      <c r="F65" s="155">
        <f>D65</f>
        <v>0</v>
      </c>
      <c r="G65" s="66" t="s">
        <v>47</v>
      </c>
    </row>
    <row r="66" spans="1:7" ht="20.25" customHeight="1">
      <c r="A66" s="9"/>
      <c r="B66" s="61" t="s">
        <v>427</v>
      </c>
      <c r="C66" s="61"/>
      <c r="D66" s="85">
        <v>0</v>
      </c>
      <c r="E66" s="153"/>
      <c r="F66" s="155">
        <f>D66</f>
        <v>0</v>
      </c>
      <c r="G66" s="66" t="s">
        <v>47</v>
      </c>
    </row>
    <row r="67" spans="1:7" ht="20.25" customHeight="1">
      <c r="A67" s="9"/>
      <c r="B67" s="61" t="s">
        <v>428</v>
      </c>
      <c r="C67" s="61"/>
      <c r="D67" s="85">
        <v>0</v>
      </c>
      <c r="E67" s="153"/>
      <c r="F67" s="155">
        <f>D67</f>
        <v>0</v>
      </c>
      <c r="G67" s="66"/>
    </row>
    <row r="68" spans="1:7" ht="20.25" customHeight="1">
      <c r="A68" s="9"/>
      <c r="B68" s="61" t="s">
        <v>429</v>
      </c>
      <c r="C68" s="61"/>
      <c r="D68" s="85">
        <v>0</v>
      </c>
      <c r="E68" s="153"/>
      <c r="F68" s="155">
        <f>D68</f>
        <v>0</v>
      </c>
      <c r="G68" s="66" t="s">
        <v>47</v>
      </c>
    </row>
    <row r="69" spans="1:7" ht="20.25" customHeight="1">
      <c r="A69" s="9"/>
      <c r="B69" s="61" t="s">
        <v>430</v>
      </c>
      <c r="C69" s="61"/>
      <c r="D69" s="85">
        <v>0</v>
      </c>
      <c r="E69" s="153"/>
      <c r="F69" s="155">
        <f>IF(D69&gt;3,3,D69)</f>
        <v>0</v>
      </c>
      <c r="G69" s="66" t="s">
        <v>47</v>
      </c>
    </row>
    <row r="70" spans="1:7" ht="20.25" customHeight="1">
      <c r="A70" s="9"/>
      <c r="B70" s="61" t="s">
        <v>431</v>
      </c>
      <c r="C70" s="61"/>
      <c r="D70" s="85">
        <v>0</v>
      </c>
      <c r="E70" s="153">
        <f>D70*2</f>
        <v>0</v>
      </c>
      <c r="F70" s="155">
        <f>IF(E70&gt;4,4,D70)</f>
        <v>0</v>
      </c>
      <c r="G70" s="66" t="s">
        <v>47</v>
      </c>
    </row>
    <row r="71" spans="1:7" ht="20.25" customHeight="1">
      <c r="A71" s="9"/>
      <c r="B71" s="396" t="s">
        <v>62</v>
      </c>
      <c r="C71" s="396"/>
      <c r="D71" s="85"/>
      <c r="E71" s="153"/>
      <c r="F71" s="155"/>
      <c r="G71" s="66"/>
    </row>
    <row r="72" spans="1:7" ht="20.25" customHeight="1">
      <c r="A72" s="9"/>
      <c r="B72" s="123" t="s">
        <v>432</v>
      </c>
      <c r="C72" s="123"/>
      <c r="D72" s="85">
        <v>0</v>
      </c>
      <c r="E72" s="153"/>
      <c r="F72" s="155">
        <f>IF(D72&gt;3,3,D72)</f>
        <v>0</v>
      </c>
      <c r="G72" s="66" t="s">
        <v>47</v>
      </c>
    </row>
    <row r="73" spans="1:7" ht="20.25" customHeight="1">
      <c r="A73" s="9"/>
      <c r="B73" s="381" t="s">
        <v>172</v>
      </c>
      <c r="C73" s="381"/>
      <c r="D73" s="85"/>
      <c r="E73" s="153"/>
      <c r="F73" s="155"/>
      <c r="G73" s="66"/>
    </row>
    <row r="74" spans="1:7" ht="20.25" customHeight="1">
      <c r="A74" s="9"/>
      <c r="B74" s="61" t="s">
        <v>433</v>
      </c>
      <c r="C74" s="61"/>
      <c r="D74" s="85">
        <v>0</v>
      </c>
      <c r="E74" s="162"/>
      <c r="F74" s="155">
        <f>D74</f>
        <v>0</v>
      </c>
      <c r="G74" s="66" t="s">
        <v>47</v>
      </c>
    </row>
    <row r="75" spans="1:7" ht="20.25" customHeight="1">
      <c r="A75" s="9"/>
      <c r="B75" s="123" t="s">
        <v>142</v>
      </c>
      <c r="C75" s="123"/>
      <c r="D75" s="167" t="s">
        <v>2</v>
      </c>
      <c r="E75" s="153"/>
      <c r="F75" s="155" t="str">
        <f>+D75</f>
        <v>-</v>
      </c>
      <c r="G75" s="550"/>
    </row>
    <row r="76" spans="1:7" ht="20.25" customHeight="1">
      <c r="A76" s="9"/>
      <c r="B76" s="61" t="s">
        <v>434</v>
      </c>
      <c r="C76" s="61"/>
      <c r="D76" s="395">
        <v>0</v>
      </c>
      <c r="E76" s="153"/>
      <c r="F76" s="155">
        <f>D76</f>
        <v>0</v>
      </c>
      <c r="G76" s="76" t="s">
        <v>144</v>
      </c>
    </row>
    <row r="77" spans="1:7" ht="20.25" customHeight="1">
      <c r="A77" s="9"/>
      <c r="B77" s="123" t="s">
        <v>141</v>
      </c>
      <c r="C77" s="123"/>
      <c r="D77" s="395"/>
      <c r="E77" s="153"/>
      <c r="F77" s="155"/>
      <c r="G77" s="550"/>
    </row>
    <row r="78" spans="1:7" ht="20.25" customHeight="1">
      <c r="A78" s="9"/>
      <c r="B78" s="123" t="s">
        <v>435</v>
      </c>
      <c r="C78" s="123"/>
      <c r="D78" s="127">
        <v>0</v>
      </c>
      <c r="E78" s="162"/>
      <c r="F78" s="155">
        <f>D78</f>
        <v>0</v>
      </c>
      <c r="G78" s="66" t="s">
        <v>47</v>
      </c>
    </row>
    <row r="79" spans="1:7" ht="20.25" customHeight="1">
      <c r="A79" s="9"/>
      <c r="B79" s="123" t="s">
        <v>154</v>
      </c>
      <c r="C79" s="123"/>
      <c r="D79" s="127" t="s">
        <v>2</v>
      </c>
      <c r="E79" s="164"/>
      <c r="F79" s="379" t="str">
        <f>+D79</f>
        <v>-</v>
      </c>
      <c r="G79" s="76"/>
    </row>
    <row r="80" spans="1:7" ht="20.25" customHeight="1">
      <c r="A80" s="9"/>
      <c r="B80" s="61" t="s">
        <v>436</v>
      </c>
      <c r="C80" s="61"/>
      <c r="D80" s="85">
        <v>0</v>
      </c>
      <c r="E80" s="153"/>
      <c r="F80" s="155">
        <f>+D80</f>
        <v>0</v>
      </c>
      <c r="G80" s="86" t="s">
        <v>40</v>
      </c>
    </row>
    <row r="81" spans="1:7" ht="20.25" customHeight="1" thickBot="1">
      <c r="A81" s="36"/>
      <c r="B81" s="60" t="s">
        <v>54</v>
      </c>
      <c r="C81" s="61"/>
      <c r="D81" s="67" t="s">
        <v>2</v>
      </c>
      <c r="E81" s="161"/>
      <c r="F81" s="359" t="s">
        <v>2</v>
      </c>
      <c r="G81" s="5"/>
    </row>
    <row r="82" spans="1:7" ht="20.25" customHeight="1" thickBot="1" thickTop="1">
      <c r="A82" s="70"/>
      <c r="B82" s="71" t="s">
        <v>28</v>
      </c>
      <c r="C82" s="778">
        <f>SUM(F57:F81)</f>
        <v>0</v>
      </c>
      <c r="D82" s="777"/>
      <c r="E82" s="784" t="s">
        <v>353</v>
      </c>
      <c r="F82" s="705">
        <f>SUM(F57:F81)/2</f>
        <v>0</v>
      </c>
      <c r="G82" s="706" t="s">
        <v>319</v>
      </c>
    </row>
    <row r="83" spans="1:7" ht="20.25" customHeight="1" thickTop="1">
      <c r="A83" s="69">
        <v>7</v>
      </c>
      <c r="B83" s="30" t="s">
        <v>149</v>
      </c>
      <c r="C83" s="779"/>
      <c r="D83" s="22"/>
      <c r="E83" s="22"/>
      <c r="F83" s="155"/>
      <c r="G83" s="61"/>
    </row>
    <row r="84" spans="1:7" ht="20.25" customHeight="1">
      <c r="A84" s="9"/>
      <c r="B84" s="57" t="s">
        <v>30</v>
      </c>
      <c r="C84" s="769"/>
      <c r="D84" s="380">
        <v>0</v>
      </c>
      <c r="E84" s="153"/>
      <c r="F84" s="155">
        <f>IF(D84&gt;8,8,D84)</f>
        <v>0</v>
      </c>
      <c r="G84" s="61"/>
    </row>
    <row r="85" spans="1:7" ht="20.25" customHeight="1" thickBot="1">
      <c r="A85" s="5"/>
      <c r="B85" s="62" t="s">
        <v>46</v>
      </c>
      <c r="C85" s="769"/>
      <c r="D85" s="87">
        <v>0</v>
      </c>
      <c r="E85" s="163"/>
      <c r="F85" s="155">
        <f>IF(D85&gt;6,6,D85)</f>
        <v>0</v>
      </c>
      <c r="G85" s="125" t="s">
        <v>150</v>
      </c>
    </row>
    <row r="86" spans="1:7" ht="20.25" customHeight="1" thickBot="1" thickTop="1">
      <c r="A86" s="5"/>
      <c r="B86" s="33" t="s">
        <v>29</v>
      </c>
      <c r="C86" s="786">
        <f>SUM(F84:F85)</f>
        <v>0</v>
      </c>
      <c r="D86" s="777"/>
      <c r="E86" s="784" t="s">
        <v>353</v>
      </c>
      <c r="F86" s="705">
        <f>SUM(F84:F85)</f>
        <v>0</v>
      </c>
      <c r="G86" s="706" t="s">
        <v>319</v>
      </c>
    </row>
    <row r="87" spans="1:6" ht="20.25" customHeight="1" thickTop="1">
      <c r="A87" s="30">
        <v>8</v>
      </c>
      <c r="B87" s="684" t="s">
        <v>354</v>
      </c>
      <c r="C87" s="789"/>
      <c r="D87" s="150"/>
      <c r="E87" s="22"/>
      <c r="F87" s="792"/>
    </row>
    <row r="88" spans="2:7" ht="20.25" customHeight="1">
      <c r="B88" s="57" t="s">
        <v>151</v>
      </c>
      <c r="C88" s="769"/>
      <c r="D88" s="84">
        <v>0</v>
      </c>
      <c r="E88" s="153"/>
      <c r="F88" s="155">
        <f>+D88*2</f>
        <v>0</v>
      </c>
      <c r="G88" s="66" t="s">
        <v>33</v>
      </c>
    </row>
    <row r="89" spans="2:7" ht="20.25" customHeight="1">
      <c r="B89" s="57" t="s">
        <v>135</v>
      </c>
      <c r="C89" s="769"/>
      <c r="D89" s="84">
        <v>0</v>
      </c>
      <c r="E89" s="153"/>
      <c r="F89" s="155">
        <f>+D89</f>
        <v>0</v>
      </c>
      <c r="G89" s="66" t="s">
        <v>32</v>
      </c>
    </row>
    <row r="90" spans="2:6" ht="20.25" customHeight="1">
      <c r="B90" s="787" t="s">
        <v>172</v>
      </c>
      <c r="C90" s="790"/>
      <c r="D90" s="65" t="s">
        <v>2</v>
      </c>
      <c r="E90" s="160"/>
      <c r="F90" s="359" t="s">
        <v>2</v>
      </c>
    </row>
    <row r="91" spans="2:6" ht="20.25" customHeight="1" thickBot="1">
      <c r="B91" s="788" t="s">
        <v>236</v>
      </c>
      <c r="C91" s="791"/>
      <c r="D91" s="551">
        <v>0</v>
      </c>
      <c r="E91" s="160"/>
      <c r="F91" s="793">
        <f>D91</f>
        <v>0</v>
      </c>
    </row>
    <row r="92" spans="1:7" ht="23.25" customHeight="1" thickBot="1" thickTop="1">
      <c r="A92" s="10"/>
      <c r="B92" s="25" t="s">
        <v>31</v>
      </c>
      <c r="C92" s="785">
        <f>IF((+F88+F89+F91)&gt;6,6,(+F88+F89+F91))</f>
        <v>0</v>
      </c>
      <c r="D92" s="777"/>
      <c r="E92" s="784" t="s">
        <v>353</v>
      </c>
      <c r="F92" s="872">
        <f>(IF((+F88+F89+F91)&gt;6,6,(+F88+F89+F91)))</f>
        <v>0</v>
      </c>
      <c r="G92" s="706" t="s">
        <v>319</v>
      </c>
    </row>
    <row r="93" spans="1:7" ht="23.25" customHeight="1" thickTop="1">
      <c r="A93" s="10"/>
      <c r="B93" s="416" t="s">
        <v>323</v>
      </c>
      <c r="C93" s="869" t="str">
        <f>'สอน p1-3'!$I$2</f>
        <v>รอบที่ 1 (วันที 1 กค 61 ถึง 31 ธค 61) </v>
      </c>
      <c r="D93" s="870"/>
      <c r="E93" s="871"/>
      <c r="F93" s="873">
        <f>SUM(F96:F107)</f>
        <v>0</v>
      </c>
      <c r="G93" s="10"/>
    </row>
    <row r="94" spans="2:6" ht="19.5" customHeight="1">
      <c r="B94" s="707"/>
      <c r="C94" s="707"/>
      <c r="D94" s="708"/>
      <c r="E94" s="38"/>
      <c r="F94" s="168"/>
    </row>
    <row r="95" spans="2:7" ht="18.75" customHeight="1">
      <c r="B95" s="813" t="s">
        <v>365</v>
      </c>
      <c r="C95" s="816" t="str">
        <f>'สอน p1-3'!$I$2</f>
        <v>รอบที่ 1 (วันที 1 กค 61 ถึง 31 ธค 61) </v>
      </c>
      <c r="D95" s="814"/>
      <c r="E95" s="814"/>
      <c r="F95" s="815"/>
      <c r="G95" s="1" t="s">
        <v>349</v>
      </c>
    </row>
    <row r="96" spans="2:6" ht="18.75" customHeight="1">
      <c r="B96" s="457" t="s">
        <v>188</v>
      </c>
      <c r="C96" s="457"/>
      <c r="D96" s="74"/>
      <c r="E96" s="74"/>
      <c r="F96" s="398">
        <f>'สอน p1-3'!$H$71</f>
        <v>0</v>
      </c>
    </row>
    <row r="97" spans="2:6" ht="18.75" customHeight="1">
      <c r="B97" s="457" t="s">
        <v>187</v>
      </c>
      <c r="C97" s="457"/>
      <c r="D97" s="74"/>
      <c r="E97" s="74"/>
      <c r="F97" s="398">
        <f>'สอน p1-3'!$H$107</f>
        <v>0</v>
      </c>
    </row>
    <row r="98" spans="2:6" ht="18.75" customHeight="1">
      <c r="B98" s="457" t="s">
        <v>186</v>
      </c>
      <c r="C98" s="457"/>
      <c r="D98" s="74"/>
      <c r="E98" s="74"/>
      <c r="F98" s="398">
        <f>'สอน p1-3'!H135</f>
        <v>0</v>
      </c>
    </row>
    <row r="99" spans="2:6" ht="18.75" customHeight="1">
      <c r="B99" s="457" t="s">
        <v>189</v>
      </c>
      <c r="C99" s="457"/>
      <c r="D99" s="74"/>
      <c r="E99" s="74"/>
      <c r="F99" s="398">
        <f>'สอน p1-3'!H115</f>
        <v>0</v>
      </c>
    </row>
    <row r="100" spans="2:6" ht="18.75" customHeight="1">
      <c r="B100" s="457" t="s">
        <v>38</v>
      </c>
      <c r="C100" s="457"/>
      <c r="D100" s="74"/>
      <c r="E100" s="74"/>
      <c r="F100" s="398">
        <f>' Thesis p 4'!$E$42</f>
        <v>0</v>
      </c>
    </row>
    <row r="101" spans="2:6" ht="18.75" customHeight="1">
      <c r="B101" s="457" t="s">
        <v>24</v>
      </c>
      <c r="C101" s="457"/>
      <c r="D101" s="74"/>
      <c r="E101" s="74"/>
      <c r="F101" s="398">
        <f>'วิจัย 2.1-1.4 p 5-6'!$I$54</f>
        <v>0</v>
      </c>
    </row>
    <row r="102" spans="2:6" ht="18.75" customHeight="1">
      <c r="B102" s="457" t="s">
        <v>23</v>
      </c>
      <c r="C102" s="457"/>
      <c r="D102" s="74"/>
      <c r="E102" s="74"/>
      <c r="F102" s="398">
        <f>F18</f>
        <v>0</v>
      </c>
    </row>
    <row r="103" spans="2:6" ht="18.75" customHeight="1">
      <c r="B103" s="457" t="s">
        <v>34</v>
      </c>
      <c r="C103" s="457"/>
      <c r="D103" s="74"/>
      <c r="E103" s="74"/>
      <c r="F103" s="398">
        <f>F47</f>
        <v>0</v>
      </c>
    </row>
    <row r="104" spans="2:6" ht="18.75" customHeight="1">
      <c r="B104" s="457" t="s">
        <v>220</v>
      </c>
      <c r="C104" s="457"/>
      <c r="D104" s="74"/>
      <c r="E104" s="74"/>
      <c r="F104" s="398">
        <f>F55</f>
        <v>0</v>
      </c>
    </row>
    <row r="105" spans="2:6" ht="18.75" customHeight="1">
      <c r="B105" s="457" t="s">
        <v>221</v>
      </c>
      <c r="C105" s="457"/>
      <c r="D105" s="74"/>
      <c r="E105" s="74"/>
      <c r="F105" s="398">
        <f>F82</f>
        <v>0</v>
      </c>
    </row>
    <row r="106" spans="2:6" ht="18.75" customHeight="1">
      <c r="B106" s="457" t="s">
        <v>222</v>
      </c>
      <c r="C106" s="457"/>
      <c r="D106" s="74"/>
      <c r="E106" s="74"/>
      <c r="F106" s="398">
        <f>F86</f>
        <v>0</v>
      </c>
    </row>
    <row r="107" spans="2:6" ht="18.75" customHeight="1">
      <c r="B107" s="457" t="s">
        <v>223</v>
      </c>
      <c r="C107" s="457"/>
      <c r="D107" s="74"/>
      <c r="E107" s="74"/>
      <c r="F107" s="398">
        <f>F92</f>
        <v>0</v>
      </c>
    </row>
    <row r="108" spans="2:6" ht="18" customHeight="1" thickBot="1">
      <c r="B108" s="73"/>
      <c r="C108" s="73"/>
      <c r="D108" s="74"/>
      <c r="E108" s="74"/>
      <c r="F108" s="398"/>
    </row>
    <row r="109" spans="2:6" ht="21" customHeight="1">
      <c r="B109" s="410" t="s">
        <v>146</v>
      </c>
      <c r="C109" s="763"/>
      <c r="D109" s="401"/>
      <c r="E109" s="401"/>
      <c r="F109" s="402"/>
    </row>
    <row r="110" spans="2:6" ht="24" customHeight="1">
      <c r="B110" s="403" t="s">
        <v>35</v>
      </c>
      <c r="C110" s="30"/>
      <c r="F110" s="404" t="e">
        <f>+(F96+F97+F98+F99+F100)/F93*10</f>
        <v>#DIV/0!</v>
      </c>
    </row>
    <row r="111" spans="2:6" ht="24" customHeight="1">
      <c r="B111" s="405" t="s">
        <v>24</v>
      </c>
      <c r="C111" s="764"/>
      <c r="F111" s="404" t="e">
        <f>F101/F93*10</f>
        <v>#DIV/0!</v>
      </c>
    </row>
    <row r="112" spans="2:6" ht="24" customHeight="1">
      <c r="B112" s="405" t="s">
        <v>23</v>
      </c>
      <c r="C112" s="764"/>
      <c r="F112" s="404" t="e">
        <f>F102/F93*10</f>
        <v>#DIV/0!</v>
      </c>
    </row>
    <row r="113" spans="2:6" ht="24" customHeight="1">
      <c r="B113" s="406" t="s">
        <v>34</v>
      </c>
      <c r="C113" s="64"/>
      <c r="F113" s="404" t="e">
        <f>F103/F93*10</f>
        <v>#DIV/0!</v>
      </c>
    </row>
    <row r="114" spans="2:6" ht="24" customHeight="1">
      <c r="B114" s="406" t="s">
        <v>237</v>
      </c>
      <c r="C114" s="64"/>
      <c r="F114" s="404" t="e">
        <f>F104*10/F93</f>
        <v>#DIV/0!</v>
      </c>
    </row>
    <row r="115" spans="2:6" ht="24" customHeight="1">
      <c r="B115" s="406" t="s">
        <v>221</v>
      </c>
      <c r="C115" s="64"/>
      <c r="F115" s="404" t="e">
        <f>F105/F93*10</f>
        <v>#DIV/0!</v>
      </c>
    </row>
    <row r="116" spans="2:6" ht="24" customHeight="1">
      <c r="B116" s="406" t="s">
        <v>222</v>
      </c>
      <c r="C116" s="64"/>
      <c r="F116" s="404" t="e">
        <f>F106/F93*10</f>
        <v>#DIV/0!</v>
      </c>
    </row>
    <row r="117" spans="2:7" ht="24" customHeight="1" thickBot="1">
      <c r="B117" s="407" t="s">
        <v>238</v>
      </c>
      <c r="C117" s="765"/>
      <c r="D117" s="408"/>
      <c r="E117" s="408"/>
      <c r="F117" s="409" t="e">
        <f>F107/F93*10</f>
        <v>#DIV/0!</v>
      </c>
      <c r="G117" s="124"/>
    </row>
    <row r="118" spans="2:7" ht="16.5" customHeight="1">
      <c r="B118" s="64"/>
      <c r="C118" s="64"/>
      <c r="F118" s="156"/>
      <c r="G118" s="124"/>
    </row>
    <row r="119" spans="2:7" ht="24" customHeight="1">
      <c r="B119" s="1" t="s">
        <v>147</v>
      </c>
      <c r="F119" s="156"/>
      <c r="G119" s="124"/>
    </row>
    <row r="120" spans="2:6" ht="24.75" customHeight="1">
      <c r="B120" s="383" t="str">
        <f>'สอน p1-3'!$B$3</f>
        <v>อ.</v>
      </c>
      <c r="C120" s="383"/>
      <c r="D120" s="382" t="s">
        <v>136</v>
      </c>
      <c r="F120" s="157"/>
    </row>
    <row r="121" spans="2:6" ht="24.75" customHeight="1">
      <c r="B121" s="1" t="s">
        <v>364</v>
      </c>
      <c r="F121" s="157"/>
    </row>
    <row r="122" spans="2:6" ht="24.75" customHeight="1">
      <c r="B122" s="428" t="s">
        <v>213</v>
      </c>
      <c r="C122" s="428"/>
      <c r="D122" s="429" t="str">
        <f>'สอน p1-3'!$F$3</f>
        <v>การพยาบาล....</v>
      </c>
      <c r="F122" s="158"/>
    </row>
    <row r="123" spans="2:6" ht="24.75" customHeight="1">
      <c r="B123" s="61"/>
      <c r="C123" s="61"/>
      <c r="F123" s="158"/>
    </row>
    <row r="124" ht="18">
      <c r="F124" s="158"/>
    </row>
    <row r="125" ht="18">
      <c r="F125" s="158"/>
    </row>
    <row r="126" ht="18">
      <c r="F126" s="158"/>
    </row>
    <row r="127" ht="18">
      <c r="F127" s="158"/>
    </row>
  </sheetData>
  <sheetProtection password="CC19" sheet="1" formatCells="0" formatColumns="0" formatRows="0"/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3"/>
  <headerFooter alignWithMargins="0">
    <oddFooter>&amp;C&amp;12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21.75"/>
  <cols>
    <col min="1" max="1" width="10.140625" style="450" customWidth="1"/>
    <col min="2" max="2" width="8.8515625" style="450" customWidth="1"/>
    <col min="3" max="3" width="11.7109375" style="450" customWidth="1"/>
    <col min="4" max="4" width="9.28125" style="450" customWidth="1"/>
    <col min="5" max="5" width="10.421875" style="450" customWidth="1"/>
    <col min="6" max="10" width="9.28125" style="450" customWidth="1"/>
  </cols>
  <sheetData>
    <row r="1" spans="1:11" ht="24" customHeight="1">
      <c r="A1" s="709"/>
      <c r="B1" s="900" t="s">
        <v>351</v>
      </c>
      <c r="C1" s="900"/>
      <c r="D1" s="900"/>
      <c r="E1" s="900"/>
      <c r="F1" s="900"/>
      <c r="G1" s="900"/>
      <c r="H1" s="900"/>
      <c r="I1" s="709"/>
      <c r="J1" s="709"/>
      <c r="K1" s="557" t="s">
        <v>350</v>
      </c>
    </row>
    <row r="2" spans="1:10" ht="24" customHeight="1">
      <c r="A2" s="759"/>
      <c r="B2" s="901" t="s">
        <v>329</v>
      </c>
      <c r="C2" s="901"/>
      <c r="D2" s="901"/>
      <c r="E2" s="901"/>
      <c r="F2" s="901"/>
      <c r="G2" s="901"/>
      <c r="H2" s="901"/>
      <c r="I2" s="759"/>
      <c r="J2" s="759"/>
    </row>
    <row r="3" spans="1:10" ht="24" customHeight="1">
      <c r="A3" s="907" t="str">
        <f>'สอน p1-3'!$A$2</f>
        <v>                         รอบการประเมิน ปีงบประมาณ 2562   รอบที่ 1 </v>
      </c>
      <c r="B3" s="907"/>
      <c r="C3" s="907"/>
      <c r="D3" s="907"/>
      <c r="E3" s="907"/>
      <c r="F3" s="907"/>
      <c r="G3" s="907"/>
      <c r="H3" s="907"/>
      <c r="I3" s="907"/>
      <c r="J3" s="907"/>
    </row>
    <row r="4" spans="1:6" ht="24" customHeight="1">
      <c r="A4" s="450" t="str">
        <f>'สอน p1-3'!A3</f>
        <v>ชื่อ </v>
      </c>
      <c r="B4" s="812" t="str">
        <f>'สอน p1-3'!B3</f>
        <v>อ.</v>
      </c>
      <c r="E4" s="450" t="str">
        <f>'สอน p1-3'!E3</f>
        <v>สาขาวิชา</v>
      </c>
      <c r="F4" s="812" t="str">
        <f>'สอน p1-3'!F3</f>
        <v>การพยาบาล....</v>
      </c>
    </row>
    <row r="5" spans="1:10" ht="24" customHeight="1">
      <c r="A5" s="910" t="s">
        <v>360</v>
      </c>
      <c r="B5" s="911"/>
      <c r="C5" s="911"/>
      <c r="D5" s="911"/>
      <c r="E5" s="911"/>
      <c r="F5" s="911"/>
      <c r="G5" s="911"/>
      <c r="H5" s="911"/>
      <c r="I5" s="911"/>
      <c r="J5" s="912"/>
    </row>
    <row r="6" spans="1:10" ht="19.5" customHeight="1">
      <c r="A6" s="913" t="s">
        <v>326</v>
      </c>
      <c r="B6" s="914"/>
      <c r="C6" s="915"/>
      <c r="D6" s="916" t="s">
        <v>327</v>
      </c>
      <c r="E6" s="917"/>
      <c r="F6" s="918"/>
      <c r="G6" s="904" t="s">
        <v>328</v>
      </c>
      <c r="H6" s="905"/>
      <c r="I6" s="906"/>
      <c r="J6" s="714" t="s">
        <v>214</v>
      </c>
    </row>
    <row r="7" spans="1:10" ht="20.25" customHeight="1">
      <c r="A7" s="715" t="s">
        <v>190</v>
      </c>
      <c r="B7" s="712" t="s">
        <v>191</v>
      </c>
      <c r="C7" s="713" t="s">
        <v>192</v>
      </c>
      <c r="D7" s="711" t="s">
        <v>190</v>
      </c>
      <c r="E7" s="712" t="s">
        <v>191</v>
      </c>
      <c r="F7" s="713" t="s">
        <v>192</v>
      </c>
      <c r="G7" s="711" t="s">
        <v>190</v>
      </c>
      <c r="H7" s="712" t="s">
        <v>191</v>
      </c>
      <c r="I7" s="713" t="s">
        <v>192</v>
      </c>
      <c r="J7" s="716" t="s">
        <v>7</v>
      </c>
    </row>
    <row r="8" spans="1:10" ht="24" customHeight="1">
      <c r="A8" s="717">
        <f>'สอน p1-3'!$C$72</f>
        <v>0</v>
      </c>
      <c r="B8" s="718">
        <f>'สอน p1-3'!$D$72</f>
        <v>0</v>
      </c>
      <c r="C8" s="719">
        <f>'สอน p1-3'!$E$72</f>
        <v>0</v>
      </c>
      <c r="D8" s="720">
        <f>'สอน p1-3'!$C$108</f>
        <v>0</v>
      </c>
      <c r="E8" s="721">
        <f>'สอน p1-3'!$D$108</f>
        <v>0</v>
      </c>
      <c r="F8" s="722">
        <f>'สอน p1-3'!$E$108</f>
        <v>0</v>
      </c>
      <c r="G8" s="723">
        <f>'สอน p1-3'!$C$136</f>
        <v>0</v>
      </c>
      <c r="H8" s="723">
        <f>'สอน p1-3'!$D$136</f>
        <v>0</v>
      </c>
      <c r="I8" s="723">
        <f>'สอน p1-3'!$E$136</f>
        <v>0</v>
      </c>
      <c r="J8" s="724">
        <f>SUM(A8:I8)</f>
        <v>0</v>
      </c>
    </row>
    <row r="9" spans="1:10" ht="6.75" customHeight="1">
      <c r="A9" s="725"/>
      <c r="B9" s="725"/>
      <c r="C9" s="725"/>
      <c r="D9" s="725"/>
      <c r="E9" s="725"/>
      <c r="F9" s="725"/>
      <c r="G9" s="725"/>
      <c r="H9" s="725"/>
      <c r="I9" s="725"/>
      <c r="J9" s="725"/>
    </row>
    <row r="10" spans="1:11" s="710" customFormat="1" ht="24" customHeight="1">
      <c r="A10" s="738"/>
      <c r="B10" s="731"/>
      <c r="C10" s="732"/>
      <c r="D10" s="732"/>
      <c r="E10" s="806" t="s">
        <v>332</v>
      </c>
      <c r="F10" s="807" t="s">
        <v>333</v>
      </c>
      <c r="G10" s="808" t="s">
        <v>333</v>
      </c>
      <c r="H10" s="809" t="s">
        <v>333</v>
      </c>
      <c r="I10" s="908" t="s">
        <v>334</v>
      </c>
      <c r="J10" s="909"/>
      <c r="K10" s="740"/>
    </row>
    <row r="11" spans="1:11" s="710" customFormat="1" ht="24" customHeight="1" thickBot="1">
      <c r="A11" s="899" t="s">
        <v>361</v>
      </c>
      <c r="B11" s="899"/>
      <c r="C11" s="899"/>
      <c r="D11" s="709"/>
      <c r="E11" s="733" t="s">
        <v>331</v>
      </c>
      <c r="F11" s="739" t="s">
        <v>336</v>
      </c>
      <c r="G11" s="748" t="s">
        <v>336</v>
      </c>
      <c r="H11" s="744" t="s">
        <v>336</v>
      </c>
      <c r="I11" s="902" t="s">
        <v>335</v>
      </c>
      <c r="J11" s="903"/>
      <c r="K11" s="741" t="s">
        <v>4</v>
      </c>
    </row>
    <row r="12" spans="1:11" s="710" customFormat="1" ht="24" customHeight="1" thickBot="1" thickTop="1">
      <c r="A12" s="729"/>
      <c r="B12" s="729"/>
      <c r="C12" s="729" t="s">
        <v>345</v>
      </c>
      <c r="D12" s="800">
        <v>1</v>
      </c>
      <c r="E12" s="743" t="s">
        <v>341</v>
      </c>
      <c r="F12" s="739" t="s">
        <v>346</v>
      </c>
      <c r="G12" s="749" t="s">
        <v>347</v>
      </c>
      <c r="H12" s="745" t="s">
        <v>348</v>
      </c>
      <c r="I12" s="810" t="s">
        <v>341</v>
      </c>
      <c r="J12" s="811">
        <v>1</v>
      </c>
      <c r="K12" s="742"/>
    </row>
    <row r="13" spans="1:11" s="710" customFormat="1" ht="24" customHeight="1" thickTop="1">
      <c r="A13" s="709" t="s">
        <v>330</v>
      </c>
      <c r="B13" s="709"/>
      <c r="C13" s="709"/>
      <c r="D13" s="709"/>
      <c r="E13" s="804">
        <v>0</v>
      </c>
      <c r="F13" s="736">
        <v>50</v>
      </c>
      <c r="G13" s="750">
        <v>40</v>
      </c>
      <c r="H13" s="746">
        <v>40</v>
      </c>
      <c r="I13" s="752">
        <f aca="true" t="shared" si="0" ref="I13:I18">IF($D$12=1,E13*F13/100,IF($D$12=2,E13*G13/100,IF($D$12=3,E13*H13/100,0)))</f>
        <v>0</v>
      </c>
      <c r="J13" s="756">
        <f aca="true" t="shared" si="1" ref="J13:J19">I13*20</f>
        <v>0</v>
      </c>
      <c r="K13" s="741"/>
    </row>
    <row r="14" spans="1:11" s="710" customFormat="1" ht="24" customHeight="1">
      <c r="A14" s="727" t="s">
        <v>337</v>
      </c>
      <c r="B14" s="709"/>
      <c r="C14" s="709"/>
      <c r="D14" s="709"/>
      <c r="E14" s="804">
        <v>0</v>
      </c>
      <c r="F14" s="736">
        <v>30</v>
      </c>
      <c r="G14" s="750">
        <v>30</v>
      </c>
      <c r="H14" s="746">
        <v>0</v>
      </c>
      <c r="I14" s="753">
        <f t="shared" si="0"/>
        <v>0</v>
      </c>
      <c r="J14" s="756">
        <f t="shared" si="1"/>
        <v>0</v>
      </c>
      <c r="K14" s="741"/>
    </row>
    <row r="15" spans="1:11" s="710" customFormat="1" ht="24" customHeight="1">
      <c r="A15" s="727" t="s">
        <v>338</v>
      </c>
      <c r="B15" s="709"/>
      <c r="C15" s="709"/>
      <c r="D15" s="709"/>
      <c r="E15" s="804">
        <v>0</v>
      </c>
      <c r="F15" s="736">
        <v>10</v>
      </c>
      <c r="G15" s="750">
        <v>10</v>
      </c>
      <c r="H15" s="746">
        <v>0</v>
      </c>
      <c r="I15" s="753">
        <f t="shared" si="0"/>
        <v>0</v>
      </c>
      <c r="J15" s="756">
        <f t="shared" si="1"/>
        <v>0</v>
      </c>
      <c r="K15" s="741"/>
    </row>
    <row r="16" spans="1:11" s="710" customFormat="1" ht="24">
      <c r="A16" s="727" t="s">
        <v>339</v>
      </c>
      <c r="B16" s="709"/>
      <c r="C16" s="709"/>
      <c r="D16" s="709"/>
      <c r="E16" s="804">
        <v>0</v>
      </c>
      <c r="F16" s="736">
        <v>3</v>
      </c>
      <c r="G16" s="750">
        <v>3</v>
      </c>
      <c r="H16" s="746">
        <v>0</v>
      </c>
      <c r="I16" s="753">
        <f t="shared" si="0"/>
        <v>0</v>
      </c>
      <c r="J16" s="756">
        <f t="shared" si="1"/>
        <v>0</v>
      </c>
      <c r="K16" s="741"/>
    </row>
    <row r="17" spans="1:11" s="710" customFormat="1" ht="24">
      <c r="A17" s="727" t="s">
        <v>340</v>
      </c>
      <c r="B17" s="709"/>
      <c r="C17" s="709"/>
      <c r="D17" s="709"/>
      <c r="E17" s="804">
        <v>0</v>
      </c>
      <c r="F17" s="736">
        <v>7</v>
      </c>
      <c r="G17" s="750">
        <v>7</v>
      </c>
      <c r="H17" s="746">
        <v>10</v>
      </c>
      <c r="I17" s="753">
        <f t="shared" si="0"/>
        <v>0</v>
      </c>
      <c r="J17" s="756">
        <f t="shared" si="1"/>
        <v>0</v>
      </c>
      <c r="K17" s="741"/>
    </row>
    <row r="18" spans="1:11" s="710" customFormat="1" ht="24">
      <c r="A18" s="728" t="s">
        <v>344</v>
      </c>
      <c r="B18" s="729"/>
      <c r="C18" s="729"/>
      <c r="D18" s="729"/>
      <c r="E18" s="805">
        <v>0</v>
      </c>
      <c r="F18" s="735">
        <v>0</v>
      </c>
      <c r="G18" s="750">
        <v>10</v>
      </c>
      <c r="H18" s="746">
        <v>50</v>
      </c>
      <c r="I18" s="754">
        <f t="shared" si="0"/>
        <v>0</v>
      </c>
      <c r="J18" s="756">
        <f t="shared" si="1"/>
        <v>0</v>
      </c>
      <c r="K18" s="742"/>
    </row>
    <row r="19" spans="1:11" s="710" customFormat="1" ht="24">
      <c r="A19" s="726" t="s">
        <v>3</v>
      </c>
      <c r="B19" s="730"/>
      <c r="C19" s="730"/>
      <c r="D19" s="730"/>
      <c r="E19" s="734"/>
      <c r="F19" s="737">
        <f>SUM(F13:F18)</f>
        <v>100</v>
      </c>
      <c r="G19" s="751">
        <f>SUM(G13:G18)</f>
        <v>100</v>
      </c>
      <c r="H19" s="747">
        <f>SUM(H13:H18)</f>
        <v>100</v>
      </c>
      <c r="I19" s="755">
        <f>SUM(I13:I18)</f>
        <v>0</v>
      </c>
      <c r="J19" s="757">
        <f t="shared" si="1"/>
        <v>0</v>
      </c>
      <c r="K19" s="742"/>
    </row>
    <row r="20" spans="1:10" ht="21">
      <c r="A20" s="451"/>
      <c r="B20" s="451"/>
      <c r="C20" s="451"/>
      <c r="D20" s="451"/>
      <c r="E20" s="451"/>
      <c r="F20" s="451"/>
      <c r="G20" s="451"/>
      <c r="H20" s="451"/>
      <c r="I20" s="451"/>
      <c r="J20" s="451"/>
    </row>
    <row r="21" spans="1:11" ht="23.25">
      <c r="A21" s="794" t="s">
        <v>355</v>
      </c>
      <c r="B21" s="795" t="s">
        <v>363</v>
      </c>
      <c r="F21" s="451"/>
      <c r="G21" s="451"/>
      <c r="H21" s="451"/>
      <c r="I21" s="451"/>
      <c r="J21" s="451"/>
      <c r="K21" s="799"/>
    </row>
    <row r="22" spans="1:11" ht="21">
      <c r="A22" s="796" t="s">
        <v>356</v>
      </c>
      <c r="B22" s="450">
        <v>1</v>
      </c>
      <c r="C22" s="795" t="s">
        <v>357</v>
      </c>
      <c r="F22" s="451"/>
      <c r="G22" s="451"/>
      <c r="H22" s="451"/>
      <c r="I22" s="451"/>
      <c r="J22" s="451"/>
      <c r="K22" s="799"/>
    </row>
    <row r="23" spans="1:11" ht="21">
      <c r="A23" s="796" t="s">
        <v>356</v>
      </c>
      <c r="B23" s="797">
        <v>2</v>
      </c>
      <c r="C23" s="795" t="s">
        <v>358</v>
      </c>
      <c r="F23" s="451"/>
      <c r="G23" s="451"/>
      <c r="H23" s="451"/>
      <c r="I23" s="451"/>
      <c r="J23" s="451"/>
      <c r="K23" s="799"/>
    </row>
    <row r="24" spans="1:11" ht="21">
      <c r="A24" s="796" t="s">
        <v>356</v>
      </c>
      <c r="B24" s="798">
        <v>3</v>
      </c>
      <c r="C24" s="795" t="s">
        <v>359</v>
      </c>
      <c r="F24" s="451"/>
      <c r="G24" s="451"/>
      <c r="H24" s="451"/>
      <c r="I24" s="451"/>
      <c r="J24" s="451"/>
      <c r="K24" s="799"/>
    </row>
  </sheetData>
  <sheetProtection password="CC19" sheet="1" formatCells="0" formatColumns="0"/>
  <mergeCells count="10">
    <mergeCell ref="A11:C11"/>
    <mergeCell ref="B1:H1"/>
    <mergeCell ref="B2:H2"/>
    <mergeCell ref="I11:J11"/>
    <mergeCell ref="G6:I6"/>
    <mergeCell ref="A3:J3"/>
    <mergeCell ref="I10:J10"/>
    <mergeCell ref="A5:J5"/>
    <mergeCell ref="A6:C6"/>
    <mergeCell ref="D6:F6"/>
  </mergeCells>
  <printOptions/>
  <pageMargins left="0.31496062992125984" right="0.31496062992125984" top="0.1968503937007874" bottom="0.15748031496062992" header="0.11811023622047245" footer="0.31496062992125984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Suwanna</cp:lastModifiedBy>
  <cp:lastPrinted>2017-08-01T05:48:08Z</cp:lastPrinted>
  <dcterms:created xsi:type="dcterms:W3CDTF">2002-08-12T07:13:18Z</dcterms:created>
  <dcterms:modified xsi:type="dcterms:W3CDTF">2019-03-22T04:33:19Z</dcterms:modified>
  <cp:category/>
  <cp:version/>
  <cp:contentType/>
  <cp:contentStatus/>
</cp:coreProperties>
</file>